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kN+MGvuI/QlH+PYT8XnnNJjxsEN5oec4x9juOW8s/XCnHEV6WW9ui2EeXM8mQRc7SypM9PQaC6vGaFFGgQDdQg==" workbookSaltValue="rDSI62poL8tcBW4DQr+35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G16" i="13" s="1"/>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8" i="2" s="1"/>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8" i="2" s="1"/>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E9" i="13" s="1"/>
  <c r="BA9" i="13"/>
  <c r="AY9" i="13"/>
  <c r="BC12" i="13"/>
  <c r="BC11" i="13"/>
  <c r="BC10" i="13"/>
  <c r="BB10" i="13"/>
  <c r="BE10" i="13" s="1"/>
  <c r="BA10" i="13"/>
  <c r="AZ10" i="13"/>
  <c r="BG10" i="13" s="1"/>
  <c r="AY10" i="13"/>
  <c r="BC9" i="13"/>
  <c r="BC17" i="13"/>
  <c r="BB17" i="13"/>
  <c r="BB18" i="13" s="1"/>
  <c r="BA17" i="13"/>
  <c r="AZ17" i="13"/>
  <c r="AZ18" i="13" s="1"/>
  <c r="AY17" i="13"/>
  <c r="BC16" i="13"/>
  <c r="BF16" i="13" s="1"/>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BA13" i="16"/>
  <c r="H10" i="2"/>
  <c r="ES19" i="8"/>
  <c r="BH19" i="13"/>
  <c r="EP19" i="8"/>
  <c r="ER19" i="13"/>
  <c r="AL13" i="16"/>
  <c r="AJ13" i="16"/>
  <c r="EP19" i="19"/>
  <c r="S13" i="16"/>
  <c r="P13" i="16"/>
  <c r="AM13" i="20"/>
  <c r="M13" i="2"/>
  <c r="N13" i="2"/>
  <c r="T13" i="12"/>
  <c r="T13" i="16"/>
  <c r="T13" i="20"/>
  <c r="BF15" i="8"/>
  <c r="AU18" i="21"/>
  <c r="AH13" i="16"/>
  <c r="AP13" i="16"/>
  <c r="T18" i="17"/>
  <c r="BG15" i="13"/>
  <c r="BE15" i="13"/>
  <c r="AX20" i="20"/>
  <c r="S19" i="8" l="1"/>
  <c r="AC19" i="8"/>
  <c r="AL16" i="11"/>
  <c r="C16" i="6"/>
  <c r="F12" i="21"/>
  <c r="BD15" i="13"/>
  <c r="BE16" i="13"/>
  <c r="BF9" i="8"/>
  <c r="AB13" i="21"/>
  <c r="R8" i="9"/>
  <c r="T17" i="11"/>
  <c r="X10" i="17"/>
  <c r="X13" i="20"/>
  <c r="X17" i="20"/>
  <c r="AA12" i="21"/>
  <c r="L11" i="2"/>
  <c r="V15" i="20"/>
  <c r="V18" i="20" s="1"/>
  <c r="S17" i="14"/>
  <c r="V17" i="14" s="1"/>
  <c r="R12" i="14"/>
  <c r="S9" i="14"/>
  <c r="V9" i="14" s="1"/>
  <c r="T15" i="11"/>
  <c r="AA10" i="16"/>
  <c r="AA15" i="16"/>
  <c r="AA9" i="16"/>
  <c r="V15" i="16"/>
  <c r="AQ13" i="21"/>
  <c r="J18" i="17"/>
  <c r="E13" i="17"/>
  <c r="BE12" i="13"/>
  <c r="H13" i="12"/>
  <c r="BF16" i="8"/>
  <c r="BF12" i="8"/>
  <c r="BD15" i="8"/>
  <c r="AP13" i="17"/>
  <c r="L19" i="8"/>
  <c r="AR18" i="11"/>
  <c r="Z13" i="17"/>
  <c r="AL12" i="11"/>
  <c r="E12" i="6"/>
  <c r="F10" i="2"/>
  <c r="N19" i="19"/>
  <c r="P19" i="19"/>
  <c r="R19" i="19"/>
  <c r="T19" i="19"/>
  <c r="V19" i="19"/>
  <c r="Z19" i="19"/>
  <c r="AB19" i="19"/>
  <c r="AD19" i="19"/>
  <c r="AL19" i="19"/>
  <c r="AR19" i="19"/>
  <c r="I19" i="19"/>
  <c r="CK19" i="19"/>
  <c r="AB19" i="13"/>
  <c r="BB13" i="13"/>
  <c r="BC18" i="13"/>
  <c r="AB19" i="8"/>
  <c r="AR13" i="21"/>
  <c r="AN12" i="11"/>
  <c r="G11" i="3"/>
  <c r="D10" i="6"/>
  <c r="BE17" i="8"/>
  <c r="BD17" i="8"/>
  <c r="BG12" i="8"/>
  <c r="K12" i="7" s="1"/>
  <c r="AY18" i="8"/>
  <c r="BE15" i="8"/>
  <c r="O19" i="8"/>
  <c r="AL15" i="11"/>
  <c r="AP10" i="11"/>
  <c r="BM18" i="16"/>
  <c r="AS19" i="8"/>
  <c r="H18" i="16"/>
  <c r="F11" i="16"/>
  <c r="AC11" i="11"/>
  <c r="N9" i="11"/>
  <c r="G17" i="3"/>
  <c r="G15" i="3"/>
  <c r="I12" i="3"/>
  <c r="I10" i="3"/>
  <c r="AO17" i="11"/>
  <c r="I18" i="2"/>
  <c r="H17" i="2"/>
  <c r="T10" i="21"/>
  <c r="V10" i="21" s="1"/>
  <c r="BB19" i="19"/>
  <c r="EL19" i="19"/>
  <c r="U19" i="19"/>
  <c r="AQ19" i="19"/>
  <c r="ER19" i="19"/>
  <c r="AQ19" i="13"/>
  <c r="AO19" i="13"/>
  <c r="AM19" i="13"/>
  <c r="AE19" i="13"/>
  <c r="BE17" i="13"/>
  <c r="I19" i="8"/>
  <c r="BE9" i="8"/>
  <c r="I9" i="7" s="1"/>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Y11" i="11"/>
  <c r="F11" i="11"/>
  <c r="AQ11" i="11" s="1"/>
  <c r="Y12" i="11"/>
  <c r="AP15" i="11"/>
  <c r="AC17" i="11"/>
  <c r="AC10" i="11"/>
  <c r="D16" i="6"/>
  <c r="J12" i="7"/>
  <c r="G12" i="3"/>
  <c r="G10" i="3"/>
  <c r="I16" i="3"/>
  <c r="E12" i="3"/>
  <c r="F16" i="10"/>
  <c r="J17" i="10"/>
  <c r="L17" i="10" s="1"/>
  <c r="AO11" i="11"/>
  <c r="F12" i="2"/>
  <c r="AO12" i="11"/>
  <c r="B11" i="6"/>
  <c r="L11" i="14"/>
  <c r="D9" i="6"/>
  <c r="J9" i="12" s="1"/>
  <c r="G13" i="2"/>
  <c r="J9" i="7"/>
  <c r="L9" i="14"/>
  <c r="G18" i="2"/>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AO20" i="20"/>
  <c r="T20" i="21"/>
  <c r="AJ20" i="20"/>
  <c r="AV20" i="20"/>
  <c r="AE20" i="20"/>
  <c r="AB20" i="20"/>
  <c r="Y20" i="20"/>
  <c r="I20" i="20"/>
  <c r="W20" i="21"/>
  <c r="AZ20" i="20"/>
  <c r="J20" i="20"/>
  <c r="R20" i="20"/>
  <c r="U10" i="11"/>
  <c r="U16" i="11"/>
  <c r="AM20" i="20"/>
  <c r="G13" i="14"/>
  <c r="X20" i="20"/>
  <c r="P20" i="20"/>
  <c r="L20" i="20"/>
  <c r="AN20" i="20"/>
  <c r="M20" i="20"/>
  <c r="AA20" i="20"/>
  <c r="N20" i="20"/>
  <c r="G18" i="14"/>
  <c r="J18" i="2" l="1"/>
  <c r="I11" i="12"/>
  <c r="X12" i="21"/>
  <c r="T9" i="11"/>
  <c r="BF11" i="11"/>
  <c r="BH11" i="16"/>
  <c r="BL9" i="11"/>
  <c r="BH17" i="16"/>
  <c r="BG10" i="11"/>
  <c r="BM16" i="11"/>
  <c r="P17" i="17"/>
  <c r="BL17" i="11"/>
  <c r="BK12" i="11"/>
  <c r="BF10" i="11"/>
  <c r="BK9" i="11"/>
  <c r="X11" i="17"/>
  <c r="BK11" i="11"/>
  <c r="V11" i="11"/>
  <c r="AP10" i="21"/>
  <c r="BM12" i="11"/>
  <c r="BH9" i="11"/>
  <c r="BI15" i="11"/>
  <c r="BJ15" i="11"/>
  <c r="BJ12" i="11"/>
  <c r="AP15" i="20"/>
  <c r="BG15" i="11"/>
  <c r="R17" i="20"/>
  <c r="R18" i="20" s="1"/>
  <c r="BK17" i="11"/>
  <c r="AZ9" i="11"/>
  <c r="AP17" i="20"/>
  <c r="AZ15" i="11"/>
  <c r="AZ18" i="11" s="1"/>
  <c r="BU11" i="17"/>
  <c r="BV17" i="16"/>
  <c r="BU10" i="17"/>
  <c r="BV12" i="16"/>
  <c r="BW12" i="20"/>
  <c r="BV11" i="16"/>
  <c r="BW11" i="20"/>
  <c r="U10" i="17"/>
  <c r="BW10" i="20"/>
  <c r="V12" i="16"/>
  <c r="BU16" i="17"/>
  <c r="BV9" i="16"/>
  <c r="AA17" i="16"/>
  <c r="AZ12" i="11"/>
  <c r="T16" i="11"/>
  <c r="BG12" i="11"/>
  <c r="Q17" i="17"/>
  <c r="BH10" i="11"/>
  <c r="BI9" i="11"/>
  <c r="AQ10" i="21"/>
  <c r="S10" i="17"/>
  <c r="BH10" i="16"/>
  <c r="Q15" i="17"/>
  <c r="Q18" i="17" s="1"/>
  <c r="Q19" i="17" s="1"/>
  <c r="BM17" i="11"/>
  <c r="BF15" i="11"/>
  <c r="BH16" i="11"/>
  <c r="AQ12" i="21"/>
  <c r="BJ16" i="11"/>
  <c r="BL16" i="11"/>
  <c r="L10" i="2"/>
  <c r="L15" i="2"/>
  <c r="L16" i="2"/>
  <c r="X10" i="21"/>
  <c r="U9" i="17"/>
  <c r="U19" i="17" s="1"/>
  <c r="L9" i="2"/>
  <c r="V9" i="16"/>
  <c r="BH9" i="16"/>
  <c r="BJ17" i="11"/>
  <c r="BH15" i="16"/>
  <c r="V11" i="16"/>
  <c r="BF16" i="11"/>
  <c r="BL12" i="11"/>
  <c r="V12" i="21"/>
  <c r="S9" i="17"/>
  <c r="BI10" i="11"/>
  <c r="V9" i="11"/>
  <c r="R10" i="21"/>
  <c r="R13" i="21" s="1"/>
  <c r="R19" i="21" s="1"/>
  <c r="BG9" i="11"/>
  <c r="BH17" i="11"/>
  <c r="T17" i="16"/>
  <c r="BU15" i="17"/>
  <c r="BW17" i="20"/>
  <c r="BW16" i="20"/>
  <c r="BW15" i="20"/>
  <c r="BV10" i="16"/>
  <c r="BV13" i="16" s="1"/>
  <c r="S11" i="17"/>
  <c r="AZ11" i="11"/>
  <c r="S15" i="16"/>
  <c r="BF12" i="11"/>
  <c r="BL10" i="11"/>
  <c r="BK16" i="11"/>
  <c r="BG16" i="11"/>
  <c r="BM9" i="11"/>
  <c r="P9" i="11" s="1"/>
  <c r="BK10" i="11"/>
  <c r="S15" i="17"/>
  <c r="S16" i="17"/>
  <c r="L17" i="2"/>
  <c r="V10" i="16"/>
  <c r="AP16" i="20"/>
  <c r="V15" i="11"/>
  <c r="BH15" i="11"/>
  <c r="Q17" i="20"/>
  <c r="Q18" i="20" s="1"/>
  <c r="BF17" i="11"/>
  <c r="S17" i="16"/>
  <c r="V17" i="16"/>
  <c r="BK15" i="11"/>
  <c r="AZ17" i="11"/>
  <c r="Q10" i="21"/>
  <c r="BJ11" i="11"/>
  <c r="BI17" i="11"/>
  <c r="BL11" i="11"/>
  <c r="BM15" i="11"/>
  <c r="T15" i="16"/>
  <c r="T18" i="16" s="1"/>
  <c r="T19" i="16" s="1"/>
  <c r="BW9" i="20"/>
  <c r="BV16" i="16"/>
  <c r="BV18" i="16" s="1"/>
  <c r="BV15" i="16"/>
  <c r="BU9" i="17"/>
  <c r="BU17" i="17"/>
  <c r="BU12" i="17"/>
  <c r="AZ16" i="11"/>
  <c r="X17" i="17"/>
  <c r="P15" i="17"/>
  <c r="P18" i="17" s="1"/>
  <c r="P19" i="17" s="1"/>
  <c r="BL15" i="11"/>
  <c r="P15" i="11" s="1"/>
  <c r="BJ10" i="11"/>
  <c r="BH11" i="11"/>
  <c r="S17" i="17"/>
  <c r="BH12" i="16"/>
  <c r="L12" i="2"/>
  <c r="X15" i="16"/>
  <c r="X18" i="16" s="1"/>
  <c r="T12" i="11"/>
  <c r="R17" i="14"/>
  <c r="S16" i="14"/>
  <c r="V16" i="14" s="1"/>
  <c r="AM16" i="11"/>
  <c r="AO16" i="17"/>
  <c r="AO12" i="17"/>
  <c r="AP13" i="20"/>
  <c r="X12" i="16"/>
  <c r="AA11" i="16"/>
  <c r="X15" i="17"/>
  <c r="X12" i="17"/>
  <c r="AA16" i="16"/>
  <c r="S15" i="14"/>
  <c r="V15" i="14" s="1"/>
  <c r="R16" i="14"/>
  <c r="R10" i="14"/>
  <c r="S10" i="14"/>
  <c r="V10" i="14" s="1"/>
  <c r="X9" i="16"/>
  <c r="X19" i="16" s="1"/>
  <c r="X16" i="20"/>
  <c r="U10" i="21"/>
  <c r="T17" i="20"/>
  <c r="X9" i="17"/>
  <c r="X16" i="17"/>
  <c r="S11" i="14"/>
  <c r="V11" i="14" s="1"/>
  <c r="T11" i="11"/>
  <c r="AM15" i="11"/>
  <c r="R11" i="14"/>
  <c r="S12" i="14"/>
  <c r="V12" i="14" s="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B19" i="7" s="1"/>
  <c r="J17" i="7"/>
  <c r="BA13" i="8"/>
  <c r="BG9" i="8"/>
  <c r="K9" i="7" s="1"/>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K16" i="7" s="1"/>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H13" i="2"/>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P16" i="11"/>
  <c r="AC16" i="11"/>
  <c r="K13" i="11"/>
  <c r="N18"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K12" i="12"/>
  <c r="AJ18" i="11"/>
  <c r="D18" i="5"/>
  <c r="F16" i="2"/>
  <c r="H16" i="2"/>
  <c r="J16" i="2"/>
  <c r="F13" i="3"/>
  <c r="E9" i="3"/>
  <c r="G9" i="3"/>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I17" i="12"/>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AV20" i="21"/>
  <c r="T20" i="20"/>
  <c r="U17" i="11"/>
  <c r="P12" i="11" l="1"/>
  <c r="D19" i="12"/>
  <c r="AO13" i="17"/>
  <c r="BK18" i="11"/>
  <c r="Q16" i="11"/>
  <c r="BW21" i="20"/>
  <c r="P17" i="11"/>
  <c r="BF13" i="8"/>
  <c r="BE13" i="8"/>
  <c r="AL13" i="11"/>
  <c r="B13" i="6"/>
  <c r="BU21" i="17"/>
  <c r="BK19" i="11"/>
  <c r="BH13" i="11"/>
  <c r="S18" i="16"/>
  <c r="S19" i="16" s="1"/>
  <c r="AZ13" i="11"/>
  <c r="AZ19" i="11"/>
  <c r="BJ18" i="11"/>
  <c r="Q9" i="11"/>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H20" i="17"/>
  <c r="BR20" i="16"/>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F20" i="17"/>
  <c r="AH20" i="11"/>
  <c r="AI20" i="16"/>
  <c r="BH20" i="16"/>
  <c r="M20" i="16"/>
  <c r="H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BA20" i="16"/>
  <c r="O12" i="11"/>
  <c r="BD19" i="8" l="1"/>
  <c r="F21" i="1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<sst xmlns="http://schemas.openxmlformats.org/spreadsheetml/2006/main" count="2102" uniqueCount="918">
  <si>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</si>
  <si>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</si>
  <si>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</si>
  <si>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</si>
  <si>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</si>
  <si>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</si>
  <si>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</si>
  <si>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</si>
  <si>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</si>
  <si>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</si>
  <si>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</si>
  <si>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</si>
  <si>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</si>
  <si>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</si>
  <si>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</si>
  <si>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</si>
  <si>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</si>
  <si>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</si>
  <si>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</si>
  <si>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</si>
  <si>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</si>
  <si>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</si>
  <si>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</si>
  <si>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</si>
  <si>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</si>
  <si>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</si>
  <si>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</si>
  <si>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</si>
  <si>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</si>
  <si>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</si>
  <si>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</si>
  <si>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</si>
  <si>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</si>
  <si>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</si>
  <si>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</si>
  <si>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</si>
  <si>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</si>
  <si>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</si>
  <si>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</si>
  <si>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</si>
  <si>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</si>
  <si>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</si>
  <si>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</si>
  <si>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</si>
  <si>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</si>
  <si>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</si>
  <si>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</si>
  <si>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</si>
  <si>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</si>
  <si>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</si>
  <si>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</si>
  <si>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</si>
  <si>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</si>
  <si>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</si>
  <si>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</si>
  <si>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</si>
  <si>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</si>
  <si>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</si>
  <si>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</si>
  <si>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</si>
  <si>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</si>
  <si>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</si>
  <si>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</si>
  <si>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</si>
  <si>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</si>
  <si>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</si>
  <si>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</si>
  <si>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</si>
  <si>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</si>
  <si>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</si>
  <si>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</si>
  <si>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</si>
  <si>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</si>
  <si>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</si>
  <si>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</si>
  <si>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</si>
  <si>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</si>
  <si>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</si>
  <si>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</si>
  <si>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</si>
  <si>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</si>
  <si>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</si>
  <si>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</si>
  <si>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</si>
  <si>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</si>
  <si>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</si>
  <si>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</si>
  <si>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</si>
  <si>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</si>
  <si>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</si>
  <si>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</si>
  <si>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</si>
  <si>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</si>
  <si>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</si>
  <si>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</si>
  <si>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</si>
  <si>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</si>
  <si>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</si>
  <si>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</si>
  <si>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</si>
  <si>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</si>
  <si>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</si>
  <si>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</si>
  <si>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</si>
  <si>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</si>
  <si>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</si>
  <si>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</si>
  <si>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</si>
  <si>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</si>
  <si>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</si>
  <si>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</si>
  <si>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</si>
  <si>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</si>
  <si>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</si>
  <si>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</si>
  <si>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</si>
  <si>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</si>
  <si>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</si>
  <si>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</si>
  <si>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</si>
  <si>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</si>
  <si>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</si>
  <si>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</si>
  <si>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</si>
  <si>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</si>
  <si>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</si>
  <si>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</si>
  <si>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</si>
  <si>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</si>
  <si>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</si>
  <si>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</si>
  <si>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</si>
  <si>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</si>
  <si>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</si>
  <si>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</si>
  <si>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</si>
  <si>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</si>
  <si>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</si>
  <si>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</si>
  <si>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</si>
  <si>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</si>
  <si>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</si>
  <si>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</si>
  <si>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</si>
  <si>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</si>
  <si>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</si>
  <si>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</si>
  <si>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</si>
  <si>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</si>
  <si>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</si>
  <si>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</si>
  <si>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</si>
  <si>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</si>
  <si>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</si>
  <si>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</si>
  <si>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</si>
  <si>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</si>
  <si>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</si>
  <si>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</si>
  <si>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</si>
  <si>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</si>
  <si>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</si>
  <si>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</si>
  <si>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</si>
  <si>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</si>
  <si>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</si>
  <si>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</si>
  <si>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</si>
  <si>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</si>
  <si>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</si>
  <si>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</si>
  <si>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</si>
  <si>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</si>
  <si>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</si>
  <si>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</si>
  <si>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</si>
  <si>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</si>
  <si>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</si>
  <si>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</si>
  <si>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</si>
  <si>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</si>
  <si>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</si>
  <si>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</si>
  <si>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</si>
  <si>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</si>
  <si>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</si>
  <si>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</si>
  <si>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</si>
  <si>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</si>
  <si>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</si>
  <si>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</si>
  <si>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</si>
  <si>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</si>
  <si>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</si>
  <si>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</si>
  <si>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</si>
  <si>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</si>
  <si>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</si>
  <si>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</si>
  <si>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</si>
  <si>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</si>
  <si>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</si>
  <si>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</si>
  <si>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</si>
  <si>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</si>
  <si>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</si>
  <si>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</si>
  <si>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</si>
  <si>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</si>
  <si>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</si>
  <si>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</si>
  <si>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</si>
  <si>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</si>
  <si>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</si>
  <si>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</si>
  <si>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</si>
  <si>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</si>
  <si>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</si>
  <si>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</si>
  <si>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</si>
  <si>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</si>
  <si>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</si>
  <si>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</si>
  <si>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</si>
  <si>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</si>
  <si>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</si>
  <si>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</si>
  <si>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</si>
  <si>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</si>
  <si>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</si>
  <si>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</si>
  <si>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</si>
  <si>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</si>
  <si>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</si>
  <si>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</si>
  <si>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</si>
  <si>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</si>
  <si>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</si>
  <si>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</si>
  <si>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</si>
  <si>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</si>
  <si>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</si>
  <si>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</si>
  <si>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</si>
  <si>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</si>
  <si>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</si>
  <si>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</si>
  <si>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</si>
  <si>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</si>
  <si>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</si>
  <si>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</si>
  <si>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</si>
  <si>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</si>
  <si>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</si>
  <si>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</si>
  <si>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</si>
  <si>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</si>
  <si>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</si>
  <si>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</si>
  <si>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</si>
  <si>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</si>
  <si>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</si>
  <si>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</si>
  <si>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</si>
  <si>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</si>
  <si>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</si>
  <si>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</si>
  <si>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</si>
  <si>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</si>
  <si>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</si>
  <si>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</si>
  <si>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</si>
  <si>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</si>
  <si>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</si>
  <si>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</si>
  <si>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</si>
  <si>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</si>
  <si>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</si>
  <si>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</si>
  <si>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</si>
  <si>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</si>
  <si>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</si>
  <si>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</si>
  <si>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</si>
  <si>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</si>
  <si>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</si>
  <si>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</si>
  <si>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</si>
  <si>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</si>
  <si>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</si>
  <si>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</si>
  <si>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</si>
  <si>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</si>
  <si>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</si>
  <si>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</si>
  <si>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</si>
  <si>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</si>
  <si>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</si>
  <si>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</si>
  <si>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</si>
  <si>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</si>
  <si>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</si>
  <si>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</si>
  <si>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</si>
  <si>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</si>
  <si>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</si>
  <si>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</si>
  <si>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</si>
  <si>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</si>
  <si>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</si>
  <si>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</si>
  <si>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</si>
  <si>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</si>
  <si>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</si>
  <si>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</si>
  <si>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</si>
  <si>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</si>
  <si>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</si>
  <si>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</si>
  <si>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</si>
  <si>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</si>
  <si>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</si>
  <si>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</si>
  <si>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</si>
  <si>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</si>
  <si>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</si>
  <si>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</si>
  <si>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</si>
  <si>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</si>
  <si>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</si>
  <si>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</si>
  <si>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</si>
  <si>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</si>
  <si>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</si>
  <si>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</si>
  <si>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</si>
  <si>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</si>
  <si>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</si>
  <si>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</si>
  <si>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</si>
  <si>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</si>
  <si>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</si>
  <si>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</si>
  <si>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</si>
  <si>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</si>
  <si>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</si>
  <si>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</si>
  <si>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</si>
  <si>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</si>
  <si>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</si>
  <si>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</si>
  <si>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</si>
  <si>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</si>
  <si>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</si>
  <si>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</si>
  <si>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</si>
  <si>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</si>
  <si>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</si>
  <si>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</si>
  <si>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</si>
  <si>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</si>
  <si>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</si>
  <si>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</si>
  <si>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</si>
  <si>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</si>
  <si>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</si>
  <si>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</si>
  <si>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</si>
  <si>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</si>
  <si>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</si>
  <si>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</si>
  <si>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</si>
  <si>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</si>
  <si>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</si>
  <si>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</si>
  <si>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</si>
  <si>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</si>
  <si>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</si>
  <si>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</si>
  <si>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</si>
  <si>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</si>
  <si>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</si>
  <si>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</si>
  <si>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</si>
  <si>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</si>
  <si>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</si>
  <si>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</si>
  <si>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</si>
  <si>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</si>
  <si>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</si>
  <si>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</si>
  <si>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</si>
  <si>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</si>
  <si>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</si>
  <si>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</si>
  <si>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</si>
  <si>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</si>
  <si>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</si>
  <si>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</si>
  <si>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</si>
  <si>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</si>
  <si>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</si>
  <si>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</si>
  <si>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</si>
  <si>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</si>
  <si>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</si>
  <si>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</si>
  <si>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</si>
  <si>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</si>
  <si>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</si>
  <si>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</si>
  <si>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</si>
  <si>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</si>
  <si>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</si>
  <si>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</si>
  <si>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</si>
  <si>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</si>
  <si>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</si>
  <si>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</si>
  <si>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</si>
  <si>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</si>
  <si>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</si>
  <si>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</si>
  <si>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</si>
  <si>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</si>
  <si>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</si>
  <si>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</si>
  <si>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</si>
  <si>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</si>
  <si>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</si>
  <si>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</si>
  <si>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</si>
  <si>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</si>
  <si>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</si>
  <si>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</si>
  <si>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</si>
  <si>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</si>
  <si>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</si>
  <si>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</si>
  <si>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</si>
  <si>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</si>
  <si>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</si>
  <si>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</si>
  <si>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</si>
  <si>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</si>
  <si>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</si>
  <si>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</si>
  <si>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</si>
  <si>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</si>
  <si>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</si>
  <si>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</si>
  <si>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</si>
  <si>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</si>
  <si>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</si>
  <si>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</si>
  <si>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</si>
  <si>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</si>
  <si>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</si>
  <si>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</si>
  <si>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</si>
  <si>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</si>
  <si>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</si>
  <si>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</si>
  <si>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</si>
  <si>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</si>
  <si>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</si>
  <si>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</si>
  <si>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</si>
  <si>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</si>
  <si>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</si>
  <si>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</si>
  <si>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</si>
  <si>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</si>
  <si>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</si>
  <si>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</si>
  <si>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</si>
  <si>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</si>
  <si>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</si>
  <si>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</si>
  <si>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</si>
  <si>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</si>
  <si>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</si>
  <si>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</si>
  <si>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</si>
  <si>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</si>
  <si>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</si>
  <si>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</si>
  <si>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</si>
  <si>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</si>
  <si>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</si>
  <si>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</si>
  <si>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</si>
  <si>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</si>
  <si>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</si>
  <si>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</si>
  <si>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</si>
  <si>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</si>
  <si>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</si>
  <si>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</si>
  <si>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</si>
  <si>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</si>
  <si>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</si>
  <si>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</si>
  <si>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</si>
  <si>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</si>
  <si>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</si>
  <si>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</si>
  <si>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</si>
  <si>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</si>
  <si>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</si>
  <si>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</si>
  <si>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</si>
  <si>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</si>
  <si>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</si>
  <si>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</si>
  <si>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</si>
  <si>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</si>
  <si>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</si>
  <si>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</si>
  <si>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</si>
  <si>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</si>
  <si>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</si>
  <si>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</si>
  <si>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</si>
  <si>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</si>
  <si>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</si>
  <si>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</si>
  <si>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</si>
  <si>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</si>
  <si>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</si>
  <si>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</si>
  <si>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</si>
  <si>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</si>
  <si>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</si>
  <si>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</si>
  <si>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</si>
  <si>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</si>
  <si>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</si>
  <si>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</si>
  <si>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</si>
  <si>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</si>
  <si>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</si>
  <si>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</si>
  <si>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</si>
  <si>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</si>
  <si>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</si>
  <si>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</si>
  <si>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</si>
  <si>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</si>
  <si>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</si>
  <si>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</si>
  <si>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</si>
  <si>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</si>
  <si>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</si>
  <si>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</si>
  <si>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</si>
  <si>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</si>
  <si>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</si>
  <si>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</si>
  <si>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</si>
  <si>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</si>
  <si>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</si>
  <si>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</si>
  <si>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</si>
  <si>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</si>
  <si>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</si>
  <si>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</si>
  <si>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</si>
  <si>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</si>
  <si>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</si>
  <si>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</si>
  <si>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</si>
  <si>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</si>
  <si>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</si>
  <si>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</si>
  <si>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</si>
  <si>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</si>
  <si>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</si>
  <si>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</si>
  <si>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</si>
  <si>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</si>
  <si>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</si>
  <si>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</si>
  <si>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</si>
  <si>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</si>
  <si>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</si>
  <si>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</si>
  <si>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</si>
  <si>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</si>
  <si>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</si>
  <si>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</si>
  <si>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</si>
  <si>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</si>
  <si>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</si>
  <si>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</si>
  <si>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</si>
  <si>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</si>
  <si>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</si>
  <si>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</si>
  <si>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</si>
  <si>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</si>
  <si>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</si>
  <si>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</si>
  <si>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</si>
  <si>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</si>
  <si>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</si>
  <si>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</si>
  <si>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</si>
  <si>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</si>
  <si>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</si>
  <si>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</si>
  <si>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</si>
  <si>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</si>
  <si>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</si>
  <si>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</si>
  <si>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</si>
  <si>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</si>
  <si>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</si>
  <si>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</si>
  <si>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</si>
  <si>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</si>
  <si>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</si>
  <si>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</si>
  <si>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</si>
  <si>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</si>
  <si>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</si>
  <si>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</si>
  <si>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</si>
  <si>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</si>
  <si>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</si>
  <si>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</si>
  <si>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</si>
  <si>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</si>
  <si>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</si>
  <si>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</si>
  <si>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</si>
  <si>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</si>
  <si>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</si>
  <si>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</si>
  <si>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</si>
  <si>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</si>
  <si>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</si>
  <si>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</si>
  <si>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</si>
  <si>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</si>
  <si>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</si>
  <si>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</si>
  <si>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</si>
  <si>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</si>
  <si>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</si>
  <si>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</si>
  <si>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</si>
  <si>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</si>
  <si>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</si>
  <si>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</si>
  <si>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</si>
  <si>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</si>
  <si>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</si>
  <si>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</si>
  <si>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</si>
  <si>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</si>
  <si>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</si>
  <si>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</si>
  <si>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</si>
  <si>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</si>
  <si>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</si>
  <si>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</si>
  <si>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</si>
  <si>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</si>
  <si>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</si>
  <si>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</si>
  <si>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</si>
  <si>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</si>
  <si>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</si>
  <si>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</si>
  <si>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</si>
  <si>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</si>
  <si>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</si>
  <si>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</si>
  <si>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</si>
  <si>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</si>
  <si>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</si>
  <si>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</si>
  <si>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</si>
  <si>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</si>
  <si>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</si>
  <si>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</si>
  <si>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</si>
  <si>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</si>
  <si>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</si>
  <si>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</si>
  <si>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</si>
  <si>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</si>
  <si>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</si>
  <si>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</si>
  <si>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</si>
  <si>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</si>
  <si>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</si>
  <si>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</si>
  <si>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</si>
  <si>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</si>
  <si>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</si>
  <si>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</si>
  <si>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</si>
  <si>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</si>
  <si>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</si>
  <si>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</si>
  <si>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</si>
  <si>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</si>
  <si>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</si>
  <si>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</si>
  <si>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</si>
  <si>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</si>
  <si>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</si>
  <si>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</si>
  <si>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</si>
  <si>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</si>
  <si>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</si>
  <si>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</si>
  <si>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</si>
  <si>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</si>
  <si>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</si>
  <si>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</si>
  <si>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</si>
  <si>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</si>
  <si>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</si>
  <si>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</si>
  <si>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</si>
  <si>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</si>
  <si>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</si>
  <si>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</si>
  <si>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</si>
  <si>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</si>
  <si>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</si>
  <si>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</si>
  <si>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</si>
  <si>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</si>
  <si>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</si>
  <si>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</si>
  <si>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</si>
  <si>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</si>
  <si>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</si>
  <si>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</si>
  <si>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</si>
  <si>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</si>
  <si>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</si>
  <si>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</si>
  <si>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</si>
  <si>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</si>
  <si>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</si>
  <si>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</si>
  <si>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</si>
  <si>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</si>
  <si>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</si>
  <si>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</si>
  <si>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</si>
  <si>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</si>
  <si>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</si>
  <si>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</si>
  <si>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</si>
  <si>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</si>
  <si>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</si>
  <si>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</si>
  <si>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</si>
  <si>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</si>
  <si>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</si>
  <si>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</si>
  <si>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</si>
  <si>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</si>
  <si>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</si>
  <si>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</si>
  <si>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</si>
  <si>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</si>
  <si>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</si>
  <si>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</si>
  <si>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</si>
  <si>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</si>
  <si>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</si>
  <si>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</si>
  <si>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</si>
  <si>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</si>
  <si>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</si>
  <si>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</si>
  <si>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</si>
  <si>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</si>
  <si>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</si>
  <si>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</si>
  <si>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</si>
  <si>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</si>
  <si>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</si>
  <si>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</si>
  <si>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</si>
  <si>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</si>
  <si>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</si>
  <si>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</si>
  <si>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</si>
  <si>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</si>
  <si>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</si>
  <si>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</si>
  <si>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</si>
  <si>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</si>
  <si>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</si>
  <si>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</si>
  <si>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</si>
  <si>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</si>
  <si>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</si>
  <si>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</si>
  <si>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</si>
  <si>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</si>
  <si>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</si>
  <si>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</si>
  <si>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</si>
  <si>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</si>
  <si>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</si>
  <si>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</si>
  <si>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</si>
  <si>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</si>
  <si>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</si>
  <si>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</si>
  <si>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</si>
  <si>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</si>
  <si>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</si>
  <si>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</si>
  <si>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</si>
  <si>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</si>
  <si>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</si>
  <si>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</si>
  <si>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</si>
  <si>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</si>
  <si>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</si>
  <si>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</si>
  <si>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</si>
  <si>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</si>
  <si>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</si>
  <si>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</si>
  <si>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</si>
  <si>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</si>
  <si>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</si>
  <si>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</si>
  <si>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</si>
  <si>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</si>
  <si>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</si>
  <si>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</si>
  <si>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</si>
  <si>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</si>
  <si>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</si>
  <si>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</si>
  <si>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</si>
  <si>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</si>
  <si>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</si>
  <si>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</si>
  <si>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</si>
  <si>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</si>
  <si>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</si>
  <si>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</si>
  <si>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</si>
  <si>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</si>
  <si>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</si>
  <si>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</si>
  <si>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</si>
  <si>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</si>
  <si>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</si>
  <si>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</si>
  <si>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</si>
  <si>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</si>
  <si>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</si>
  <si>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</si>
  <si>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</si>
  <si>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</si>
  <si>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</si>
  <si>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</si>
  <si>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</si>
  <si>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</si>
  <si>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</si>
  <si>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</si>
  <si>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</si>
  <si>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</si>
  <si>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</si>
  <si>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</si>
  <si>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</si>
  <si>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</si>
  <si>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</si>
  <si>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</si>
  <si>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</si>
  <si>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</si>
  <si>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</si>
  <si>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</si>
  <si>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</si>
  <si>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</si>
  <si>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</si>
  <si>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</si>
  <si>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</si>
  <si>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</si>
  <si>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</si>
  <si>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</si>
  <si>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</si>
  <si>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</si>
  <si>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</si>
  <si>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</si>
  <si>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</si>
  <si>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</si>
  <si>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</si>
  <si>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</si>
  <si>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</si>
  <si>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</si>
  <si>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</si>
  <si>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</si>
  <si>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</si>
  <si>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</si>
  <si>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</si>
  <si>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</si>
  <si>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28 feb. 2025</t>
  </si>
  <si>
    <t>Tribunales de Justicia</t>
  </si>
  <si>
    <t>COMUNIDAD VALENCIANA</t>
  </si>
  <si>
    <t>Provincias</t>
  </si>
  <si>
    <t>VALENCIA</t>
  </si>
  <si>
    <t>Resumenes por Partidos Judiciales</t>
  </si>
  <si>
    <t>QUART DE POBLET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</si>
</sst>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1</v>
      </c>
      <c r="E5" s="372"/>
      <c r="F5" s="3"/>
      <c r="H5" t="s">
        <v>424</v>
      </c>
      <c r="Q5" s="346">
        <v>3</v>
      </c>
      <c r="R5" s="346">
        <v>2</v>
      </c>
      <c r="S5" t="b">
        <f>AND(Q5&gt;=TrimIni,Q5&lt;=TrimFin)</f>
        <v>1</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1</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1CskyeCfBdcSe+ZL2JsVr7EWmewe4rpK+Y4qFecCHFqw1LJIQtsMBWN/Rm9bZLneu5r01kGYusiDJFbaSQOR3A==" saltValue="F5aForIFdVrVAEkoia4wY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1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0</v>
      </c>
      <c r="D10" s="225">
        <f>IF(ISNUMBER(Datos!I10),Datos!I10," - ")</f>
        <v>4</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7.8797533401849948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0</v>
      </c>
      <c r="D13" s="1049">
        <f>SUBTOTAL(9,D9:D12)</f>
        <v>4</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3</v>
      </c>
      <c r="B16" s="502" t="str">
        <f>Datos!A16</f>
        <v xml:space="preserve">Jdos. 1ª Instª. e Instr.                        </v>
      </c>
      <c r="C16" s="225">
        <f t="shared" si="2"/>
        <v>962</v>
      </c>
      <c r="D16" s="225">
        <f>IF(ISNUMBER(IF(D_I="SI",Datos!I16,Datos!I16+Datos!AC16)),IF(D_I="SI",Datos!I16,Datos!I16+Datos!AC16)," - ")</f>
        <v>962</v>
      </c>
      <c r="E16" s="226">
        <f>IF(ISNUMBER(IF(D_I="SI",Datos!J16,Datos!J16+Datos!AD16)),IF(D_I="SI",Datos!J16,Datos!J16+Datos!AD16)," - ")</f>
        <v>3279</v>
      </c>
      <c r="F16" s="226">
        <f>IF(ISNUMBER(IF(D_I="SI",Datos!K16,Datos!K16+Datos!AE16)),IF(D_I="SI",Datos!K16,Datos!K16+Datos!AE16)," - ")</f>
        <v>2913</v>
      </c>
      <c r="G16" s="1034" t="str">
        <f>IF(Datos!E16&lt;&gt;"",Datos!E16,Datos!D16)</f>
        <v>04</v>
      </c>
      <c r="H16" s="227">
        <f>IF(ISNUMBER(IF(D_I="SI",Datos!L16,Datos!L16+Datos!AF16)),IF(D_I="SI",Datos!L16,Datos!L16+Datos!AF16)," - ")</f>
        <v>1328</v>
      </c>
      <c r="I16" s="1044" t="str">
        <f>IF(ISNUMBER(Datos!AS16/Datos!BM16),Datos!AS16/Datos!BM16," - ")</f>
        <v xml:space="preserve"> - </v>
      </c>
      <c r="J16" s="1045">
        <f>IF(ISNUMBER(Datos!BY16/Datos!CN16),Datos!BY16/Datos!CN16," - ")</f>
        <v>0</v>
      </c>
      <c r="K16" s="230">
        <f t="shared" si="3"/>
        <v>0.38045738045738048</v>
      </c>
      <c r="L16" s="1025">
        <f>IF(ISNUMBER(NºAsuntos!I16/NºAsuntos!G16),(NºAsuntos!I16/NºAsuntos!G16)*11," - ")</f>
        <v>5.0147614143494676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12</v>
      </c>
      <c r="D17" s="225">
        <f>IF(ISNUMBER(IF(D_I="SI",Datos!I17,Datos!I17+Datos!AC17)),IF(D_I="SI",Datos!I17,Datos!I17+Datos!AC17)," - ")</f>
        <v>17</v>
      </c>
      <c r="E17" s="226">
        <f>IF(ISNUMBER(IF(D_I="SI",Datos!J17,Datos!J17+Datos!AD17)),IF(D_I="SI",Datos!J17,Datos!J17+Datos!AD17)," - ")</f>
        <v>3</v>
      </c>
      <c r="F17" s="226">
        <f>IF(ISNUMBER(IF(D_I="SI",Datos!K17,Datos!K17+Datos!AE17)),IF(D_I="SI",Datos!K17,Datos!K17+Datos!AE17)," - ")</f>
        <v>13</v>
      </c>
      <c r="G17" s="1034" t="str">
        <f>IF(Datos!E17&lt;&gt;"",Datos!E17,Datos!D17)</f>
        <v>37</v>
      </c>
      <c r="H17" s="227">
        <f>IF(ISNUMBER(IF(D_I="SI",Datos!L17,Datos!L17+Datos!AF17)),IF(D_I="SI",Datos!L17,Datos!L17+Datos!AF17)," - ")</f>
        <v>2</v>
      </c>
      <c r="I17" s="1044" t="str">
        <f>IF(ISNUMBER(Datos!AS17/Datos!BM17),Datos!AS17/Datos!BM17," - ")</f>
        <v xml:space="preserve"> - </v>
      </c>
      <c r="J17" s="1045" t="str">
        <f>IF(ISNUMBER((Datos!BY17+Datos!BZ17)/Datos!CN17),(Datos!BY17+Datos!BZ17)/Datos!CN17," - ")</f>
        <v xml:space="preserve"> - </v>
      </c>
      <c r="K17" s="230">
        <f t="shared" si="3"/>
        <v>-0.83333333333333337</v>
      </c>
      <c r="L17" s="1025">
        <f>IF(ISNUMBER(NºAsuntos!I17/NºAsuntos!G17),(NºAsuntos!I17/NºAsuntos!G17)*11," - ")</f>
        <v>1.6923076923076925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974</v>
      </c>
      <c r="D18" s="1049">
        <f>SUBTOTAL(9,D15:D17)</f>
        <v>979</v>
      </c>
      <c r="E18" s="1050">
        <f>SUBTOTAL(9,E15:E17)</f>
        <v>3282</v>
      </c>
      <c r="F18" s="1050">
        <f>SUBTOTAL(9,F15:F17)</f>
        <v>2926</v>
      </c>
      <c r="G18" s="1052" t="str">
        <f ca="1">INDIRECT(CONCATENATE("G",ROW()-1))</f>
        <v>37</v>
      </c>
      <c r="H18" s="1053">
        <f ca="1">SUMIF(G$14:G17,G18,H$14:H17)</f>
        <v>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974</v>
      </c>
      <c r="D19" s="1071">
        <f>SUBTOTAL(9,D9:D18)</f>
        <v>983</v>
      </c>
      <c r="E19" s="1072">
        <f>SUBTOTAL(9,E9:E18)</f>
        <v>3282</v>
      </c>
      <c r="F19" s="1072">
        <f>SUBTOTAL(9,F9:F18)</f>
        <v>2926</v>
      </c>
      <c r="G19" s="1073"/>
      <c r="H19" s="1074">
        <f ca="1">SUMIF(B9:B18,"TOTAL",H9:H18)</f>
        <v>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28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SB4tGhUBon1WVIl1vXFyubO3rBtGvQ8/HY8082N91IM2FaY/Ms7rgEGbz0x1i6QYFPD4SGhWCELINuA3FrgX7A==" saltValue="U1zbb5Re5XAmiH0vvxi5s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CbTKk+/jVit1iM4ddMg5gValvMr6w57wObhSYlZHsoPj5lbUwEfKTtjz0Tj2Wm8kY7Fo7HcaVrPfOecfuBxVbg==" saltValue="rfSgtlTVH/T3+866IlMXG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4</v>
      </c>
      <c r="J10" s="181">
        <v>0</v>
      </c>
      <c r="K10" s="181">
        <v>0</v>
      </c>
      <c r="L10" s="181">
        <v>0</v>
      </c>
      <c r="M10" s="181">
        <v>0</v>
      </c>
      <c r="N10" s="181">
        <v>4</v>
      </c>
      <c r="O10" s="181">
        <v>0</v>
      </c>
      <c r="P10" s="181">
        <v>0</v>
      </c>
      <c r="Q10" s="181">
        <v>19</v>
      </c>
      <c r="R10" s="181">
        <v>45</v>
      </c>
      <c r="S10" s="181">
        <v>10</v>
      </c>
      <c r="T10" s="181">
        <v>5</v>
      </c>
      <c r="U10" s="181">
        <v>11</v>
      </c>
      <c r="V10" s="181">
        <v>4</v>
      </c>
      <c r="W10" s="181">
        <v>11</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10</v>
      </c>
      <c r="AZ10" s="129">
        <f t="shared" si="0"/>
        <v>5</v>
      </c>
      <c r="BA10" s="129">
        <f t="shared" si="0"/>
        <v>11</v>
      </c>
      <c r="BB10" s="129">
        <f t="shared" si="0"/>
        <v>4</v>
      </c>
      <c r="BC10" s="125">
        <f t="shared" si="0"/>
        <v>11</v>
      </c>
      <c r="BD10" s="126">
        <f>IF(ISNUMBER(BA10/AZ10),BA10/AZ10," - ")</f>
        <v>2.2000000000000002</v>
      </c>
      <c r="BE10" s="127">
        <f>IF(ISNUMBER(BB10/BA10),BB10/BA10, " - ")</f>
        <v>0.36363636363636365</v>
      </c>
      <c r="BF10" s="127">
        <f>IF(ISNUMBER(BC10/BA10),BC10/BA10, " - ")</f>
        <v>1</v>
      </c>
      <c r="BG10" s="196">
        <f>IF(ISNUMBER((AY10+AZ10)/BA10),(AY10+AZ10)/BA10," - ")</f>
        <v>1.3636363636363635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3136</v>
      </c>
      <c r="J12" s="183">
        <v>5062</v>
      </c>
      <c r="K12" s="183">
        <v>4621</v>
      </c>
      <c r="L12" s="183">
        <v>3446</v>
      </c>
      <c r="M12" s="183">
        <v>1668</v>
      </c>
      <c r="N12" s="183">
        <v>1466</v>
      </c>
      <c r="O12" s="181">
        <v>1991</v>
      </c>
      <c r="P12" s="183">
        <v>800</v>
      </c>
      <c r="Q12" s="183">
        <v>317</v>
      </c>
      <c r="R12" s="183">
        <v>3467</v>
      </c>
      <c r="S12" s="183">
        <v>1895</v>
      </c>
      <c r="T12" s="183">
        <v>5350</v>
      </c>
      <c r="U12" s="183">
        <v>4074</v>
      </c>
      <c r="V12" s="183">
        <v>3136</v>
      </c>
      <c r="W12" s="183">
        <v>1553</v>
      </c>
      <c r="X12" s="189">
        <v>1147</v>
      </c>
      <c r="Y12" s="191">
        <v>53</v>
      </c>
      <c r="Z12" s="181">
        <v>220</v>
      </c>
      <c r="AA12" s="181">
        <v>244</v>
      </c>
      <c r="AB12" s="181">
        <v>39</v>
      </c>
      <c r="AC12" s="183">
        <v>0</v>
      </c>
      <c r="AD12" s="183">
        <v>0</v>
      </c>
      <c r="AE12" s="183">
        <v>0</v>
      </c>
      <c r="AF12" s="189">
        <v>0</v>
      </c>
      <c r="AG12" s="202">
        <v>83</v>
      </c>
      <c r="AH12" s="183">
        <v>256</v>
      </c>
      <c r="AI12" s="183">
        <v>286</v>
      </c>
      <c r="AJ12" s="203">
        <v>53</v>
      </c>
      <c r="AK12" s="182">
        <v>0</v>
      </c>
      <c r="AL12" s="183">
        <v>0</v>
      </c>
      <c r="AM12" s="183">
        <v>0</v>
      </c>
      <c r="AN12" s="189">
        <v>0</v>
      </c>
      <c r="AO12" s="259">
        <v>3</v>
      </c>
      <c r="AP12" s="155">
        <v>3</v>
      </c>
      <c r="AQ12" s="155">
        <v>3</v>
      </c>
      <c r="AR12" s="154">
        <v>3</v>
      </c>
      <c r="AS12" s="340" t="s">
        <v>802</v>
      </c>
      <c r="AT12" s="203"/>
      <c r="AU12" s="202"/>
      <c r="AV12" s="203"/>
      <c r="AW12" s="202"/>
      <c r="AX12" s="203"/>
      <c r="AY12" s="126">
        <f t="shared" si="1"/>
        <v>1978</v>
      </c>
      <c r="AZ12" s="127">
        <f t="shared" si="1"/>
        <v>5606</v>
      </c>
      <c r="BA12" s="127">
        <f t="shared" si="1"/>
        <v>4360</v>
      </c>
      <c r="BB12" s="127">
        <f t="shared" si="1"/>
        <v>3189</v>
      </c>
      <c r="BC12" s="125">
        <f>IF(ISNUMBER(X12),X12," - ")</f>
        <v>1147</v>
      </c>
      <c r="BD12" s="126">
        <f t="shared" si="2"/>
        <v>0.77773813770959688</v>
      </c>
      <c r="BE12" s="127">
        <f t="shared" si="3"/>
        <v>0.73142201834862386</v>
      </c>
      <c r="BF12" s="127">
        <f t="shared" si="4"/>
        <v>0.26307339449541284</v>
      </c>
      <c r="BG12" s="196">
        <f t="shared" si="5"/>
        <v>1.7394495412844038</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3140</v>
      </c>
      <c r="J13" s="184">
        <f t="shared" si="6"/>
        <v>5062</v>
      </c>
      <c r="K13" s="184">
        <f t="shared" si="6"/>
        <v>4621</v>
      </c>
      <c r="L13" s="184">
        <f t="shared" si="6"/>
        <v>3446</v>
      </c>
      <c r="M13" s="184">
        <f t="shared" si="6"/>
        <v>1668</v>
      </c>
      <c r="N13" s="184">
        <f t="shared" si="6"/>
        <v>1470</v>
      </c>
      <c r="O13" s="184">
        <f t="shared" si="6"/>
        <v>1991</v>
      </c>
      <c r="P13" s="184">
        <f t="shared" si="6"/>
        <v>800</v>
      </c>
      <c r="Q13" s="184">
        <f t="shared" si="6"/>
        <v>336</v>
      </c>
      <c r="R13" s="184">
        <f t="shared" si="6"/>
        <v>3512</v>
      </c>
      <c r="S13" s="184">
        <f t="shared" si="6"/>
        <v>1905</v>
      </c>
      <c r="T13" s="184">
        <f t="shared" si="6"/>
        <v>5355</v>
      </c>
      <c r="U13" s="184">
        <f t="shared" si="6"/>
        <v>4085</v>
      </c>
      <c r="V13" s="184">
        <f t="shared" si="6"/>
        <v>3140</v>
      </c>
      <c r="W13" s="184">
        <f t="shared" si="6"/>
        <v>1564</v>
      </c>
      <c r="X13" s="184">
        <f t="shared" si="6"/>
        <v>1147</v>
      </c>
      <c r="Y13" s="184">
        <f t="shared" si="6"/>
        <v>53</v>
      </c>
      <c r="Z13" s="184">
        <f t="shared" si="6"/>
        <v>220</v>
      </c>
      <c r="AA13" s="184">
        <f t="shared" si="6"/>
        <v>244</v>
      </c>
      <c r="AB13" s="184">
        <f t="shared" si="6"/>
        <v>39</v>
      </c>
      <c r="AC13" s="184">
        <f t="shared" si="6"/>
        <v>0</v>
      </c>
      <c r="AD13" s="184">
        <f t="shared" si="6"/>
        <v>0</v>
      </c>
      <c r="AE13" s="184">
        <f t="shared" si="6"/>
        <v>0</v>
      </c>
      <c r="AF13" s="184">
        <f>SUBTOTAL(9,AF9:AF12)</f>
        <v>0</v>
      </c>
      <c r="AG13" s="184">
        <f t="shared" ref="AG13:AT13" si="7">SUBTOTAL(9,AG8:AG12)</f>
        <v>83</v>
      </c>
      <c r="AH13" s="184">
        <f t="shared" si="7"/>
        <v>256</v>
      </c>
      <c r="AI13" s="184">
        <f t="shared" si="7"/>
        <v>286</v>
      </c>
      <c r="AJ13" s="184">
        <f t="shared" si="7"/>
        <v>53</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1988</v>
      </c>
      <c r="AZ13" s="184">
        <f>SUBTOTAL(9,AZ8:AZ12)</f>
        <v>5611</v>
      </c>
      <c r="BA13" s="184">
        <f>SUBTOTAL(9,BA8:BA12)</f>
        <v>4371</v>
      </c>
      <c r="BB13" s="184">
        <f>SUBTOTAL(9,BB8:BB12)</f>
        <v>3193</v>
      </c>
      <c r="BC13" s="184">
        <f>SUBTOTAL(9,BC8:BC12)</f>
        <v>1158</v>
      </c>
      <c r="BD13" s="205">
        <f>IF(ISNUMBER(BA13/AZ13),BA13/AZ13," - ")</f>
        <v>0.77900552486187846</v>
      </c>
      <c r="BE13" s="206">
        <f>IF(ISNUMBER(BB13/BA13),BB13/BA13, " - ")</f>
        <v>0.73049645390070927</v>
      </c>
      <c r="BF13" s="206">
        <f>IF(ISNUMBER(BC13/BA13),BC13/BA13, " - ")</f>
        <v>0.26492793411118737</v>
      </c>
      <c r="BG13" s="207">
        <f>IF(ISNUMBER((AY13+AZ13)/BA13),(AY13+AZ13)/BA13," - ")</f>
        <v>1.7385037748798902</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962</v>
      </c>
      <c r="J16" s="183">
        <v>3279</v>
      </c>
      <c r="K16" s="183">
        <v>2913</v>
      </c>
      <c r="L16" s="183">
        <v>1328</v>
      </c>
      <c r="M16" s="183">
        <v>360</v>
      </c>
      <c r="N16" s="183">
        <v>1786</v>
      </c>
      <c r="O16" s="181">
        <v>40</v>
      </c>
      <c r="P16" s="183">
        <v>159</v>
      </c>
      <c r="Q16" s="183">
        <v>73</v>
      </c>
      <c r="R16" s="183">
        <v>179</v>
      </c>
      <c r="S16" s="183">
        <v>938</v>
      </c>
      <c r="T16" s="183">
        <v>3016</v>
      </c>
      <c r="U16" s="183">
        <v>2939</v>
      </c>
      <c r="V16" s="183">
        <v>962</v>
      </c>
      <c r="W16" s="183">
        <v>315</v>
      </c>
      <c r="X16" s="189">
        <v>1962</v>
      </c>
      <c r="Y16" s="202">
        <v>0</v>
      </c>
      <c r="Z16" s="183">
        <v>0</v>
      </c>
      <c r="AA16" s="183">
        <v>0</v>
      </c>
      <c r="AB16" s="183">
        <v>0</v>
      </c>
      <c r="AC16" s="183">
        <v>0</v>
      </c>
      <c r="AD16" s="183">
        <v>0</v>
      </c>
      <c r="AE16" s="183">
        <v>0</v>
      </c>
      <c r="AF16" s="189">
        <v>0</v>
      </c>
      <c r="AG16" s="202">
        <v>0</v>
      </c>
      <c r="AH16" s="183">
        <v>0</v>
      </c>
      <c r="AI16" s="183">
        <v>0</v>
      </c>
      <c r="AJ16" s="203">
        <v>0</v>
      </c>
      <c r="AK16" s="182">
        <v>0</v>
      </c>
      <c r="AL16" s="183">
        <v>1</v>
      </c>
      <c r="AM16" s="183">
        <v>1</v>
      </c>
      <c r="AN16" s="189">
        <v>0</v>
      </c>
      <c r="AO16" s="259">
        <v>3</v>
      </c>
      <c r="AP16" s="155">
        <v>3</v>
      </c>
      <c r="AQ16" s="155">
        <v>3</v>
      </c>
      <c r="AR16" s="155">
        <v>3</v>
      </c>
      <c r="AS16" s="340" t="s">
        <v>487</v>
      </c>
      <c r="AT16" s="203"/>
      <c r="AU16" s="202"/>
      <c r="AV16" s="203"/>
      <c r="AW16" s="202"/>
      <c r="AX16" s="203"/>
      <c r="AY16" s="126">
        <f t="shared" si="9"/>
        <v>938</v>
      </c>
      <c r="AZ16" s="127">
        <f t="shared" si="9"/>
        <v>3016</v>
      </c>
      <c r="BA16" s="127">
        <f t="shared" si="9"/>
        <v>2939</v>
      </c>
      <c r="BB16" s="127">
        <f t="shared" si="9"/>
        <v>962</v>
      </c>
      <c r="BC16" s="125">
        <f>IF(ISNUMBER(W16),W16," - ")</f>
        <v>315</v>
      </c>
      <c r="BD16" s="126">
        <f t="shared" ref="BD16" si="11">IF(ISNUMBER(BA16/AZ16),BA16/AZ16," - ")</f>
        <v>0.97446949602122013</v>
      </c>
      <c r="BE16" s="127">
        <f t="shared" ref="BE16" si="12">IF(ISNUMBER(BB16/BA16),BB16/BA16, " - ")</f>
        <v>0.32732221844164683</v>
      </c>
      <c r="BF16" s="127">
        <f t="shared" ref="BF16" si="13">IF(ISNUMBER(BC16/BA16),BC16/BA16, " - ")</f>
        <v>0.10717931269139162</v>
      </c>
      <c r="BG16" s="196">
        <f t="shared" si="10"/>
        <v>1.3453555631167065</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17</v>
      </c>
      <c r="J17" s="183">
        <v>3</v>
      </c>
      <c r="K17" s="183">
        <v>13</v>
      </c>
      <c r="L17" s="183">
        <v>2</v>
      </c>
      <c r="M17" s="183">
        <v>0</v>
      </c>
      <c r="N17" s="183">
        <v>9</v>
      </c>
      <c r="O17" s="183">
        <v>0</v>
      </c>
      <c r="P17" s="183">
        <v>0</v>
      </c>
      <c r="Q17" s="183">
        <v>0</v>
      </c>
      <c r="R17" s="183">
        <v>0</v>
      </c>
      <c r="S17" s="183">
        <v>72</v>
      </c>
      <c r="T17" s="183">
        <v>33</v>
      </c>
      <c r="U17" s="183">
        <v>88</v>
      </c>
      <c r="V17" s="183">
        <v>17</v>
      </c>
      <c r="W17" s="183">
        <v>3</v>
      </c>
      <c r="X17" s="189">
        <v>55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72</v>
      </c>
      <c r="AZ17" s="129">
        <f t="shared" si="14"/>
        <v>33</v>
      </c>
      <c r="BA17" s="129">
        <f t="shared" si="14"/>
        <v>88</v>
      </c>
      <c r="BB17" s="129">
        <f t="shared" si="14"/>
        <v>17</v>
      </c>
      <c r="BC17" s="125">
        <f>IF(ISNUMBER(W17),W17," - ")</f>
        <v>3</v>
      </c>
      <c r="BD17" s="126">
        <f>IF(ISNUMBER(BA17/AZ17),BA17/AZ17," - ")</f>
        <v>2.6666666666666665</v>
      </c>
      <c r="BE17" s="127">
        <f>IF(ISNUMBER(BB17/BA17),BB17/BA17, " - ")</f>
        <v>0.19318181818181818</v>
      </c>
      <c r="BF17" s="127">
        <f>IF(ISNUMBER(BC17/BA17),BC17/BA17, " - ")</f>
        <v>3.4090909090909088E-2</v>
      </c>
      <c r="BG17" s="196">
        <f>IF(ISNUMBER((AY17+AZ17)/BA17),(AY17+AZ17)/BA17," - ")</f>
        <v>1.1931818181818181</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979</v>
      </c>
      <c r="J18" s="184">
        <f t="shared" si="15"/>
        <v>3282</v>
      </c>
      <c r="K18" s="184">
        <f t="shared" si="15"/>
        <v>2926</v>
      </c>
      <c r="L18" s="184">
        <f t="shared" si="15"/>
        <v>1330</v>
      </c>
      <c r="M18" s="184">
        <f t="shared" si="15"/>
        <v>360</v>
      </c>
      <c r="N18" s="184">
        <f t="shared" si="15"/>
        <v>1795</v>
      </c>
      <c r="O18" s="184">
        <f t="shared" si="15"/>
        <v>40</v>
      </c>
      <c r="P18" s="184">
        <f t="shared" si="15"/>
        <v>159</v>
      </c>
      <c r="Q18" s="184">
        <f t="shared" si="15"/>
        <v>73</v>
      </c>
      <c r="R18" s="184">
        <f t="shared" si="15"/>
        <v>179</v>
      </c>
      <c r="S18" s="184">
        <f t="shared" si="15"/>
        <v>1010</v>
      </c>
      <c r="T18" s="184">
        <f t="shared" si="15"/>
        <v>3049</v>
      </c>
      <c r="U18" s="184">
        <f t="shared" si="15"/>
        <v>3027</v>
      </c>
      <c r="V18" s="184">
        <f t="shared" si="15"/>
        <v>979</v>
      </c>
      <c r="W18" s="184">
        <f t="shared" si="15"/>
        <v>318</v>
      </c>
      <c r="X18" s="184">
        <f t="shared" si="15"/>
        <v>2017</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1</v>
      </c>
      <c r="AM18" s="184">
        <f t="shared" si="15"/>
        <v>1</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1010</v>
      </c>
      <c r="AZ18" s="184">
        <f>SUBTOTAL(9,AZ14:AZ17)</f>
        <v>3049</v>
      </c>
      <c r="BA18" s="184">
        <f>SUBTOTAL(9,BA14:BA17)</f>
        <v>3027</v>
      </c>
      <c r="BB18" s="184">
        <f>SUBTOTAL(9,BB14:BB17)</f>
        <v>979</v>
      </c>
      <c r="BC18" s="184">
        <f>SUBTOTAL(9,BC14:BC17)</f>
        <v>318</v>
      </c>
      <c r="BD18" s="205">
        <f>IF(ISNUMBER(BA18/AZ18),BA18/AZ18," - ")</f>
        <v>0.9927845195145949</v>
      </c>
      <c r="BE18" s="206">
        <f>IF(ISNUMBER(BB18/BA18),BB18/BA18, " - ")</f>
        <v>0.32342253055830855</v>
      </c>
      <c r="BF18" s="206">
        <f>IF(ISNUMBER(BC18/BA18),BC18/BA18, " - ")</f>
        <v>0.10505450941526263</v>
      </c>
      <c r="BG18" s="207">
        <f>IF(ISNUMBER((AY18+AZ18)/BA18),(AY18+AZ18)/BA18," - ")</f>
        <v>1.3409316154608524</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4119</v>
      </c>
      <c r="J19" s="134">
        <f t="shared" si="18"/>
        <v>8344</v>
      </c>
      <c r="K19" s="134">
        <f t="shared" si="18"/>
        <v>7547</v>
      </c>
      <c r="L19" s="134">
        <f t="shared" si="18"/>
        <v>4776</v>
      </c>
      <c r="M19" s="134">
        <f t="shared" si="18"/>
        <v>2028</v>
      </c>
      <c r="N19" s="134">
        <f t="shared" si="18"/>
        <v>3265</v>
      </c>
      <c r="O19" s="134">
        <f t="shared" si="18"/>
        <v>2031</v>
      </c>
      <c r="P19" s="134">
        <f t="shared" si="18"/>
        <v>959</v>
      </c>
      <c r="Q19" s="134">
        <f t="shared" si="18"/>
        <v>409</v>
      </c>
      <c r="R19" s="134">
        <f t="shared" si="18"/>
        <v>3691</v>
      </c>
      <c r="S19" s="134">
        <f t="shared" si="18"/>
        <v>2915</v>
      </c>
      <c r="T19" s="134">
        <f t="shared" si="18"/>
        <v>8404</v>
      </c>
      <c r="U19" s="134">
        <f t="shared" si="18"/>
        <v>7112</v>
      </c>
      <c r="V19" s="134">
        <f t="shared" si="18"/>
        <v>4119</v>
      </c>
      <c r="W19" s="134">
        <f t="shared" si="18"/>
        <v>1882</v>
      </c>
      <c r="X19" s="134">
        <f t="shared" si="18"/>
        <v>3164</v>
      </c>
      <c r="Y19" s="134">
        <f t="shared" si="18"/>
        <v>53</v>
      </c>
      <c r="Z19" s="134">
        <f t="shared" si="18"/>
        <v>220</v>
      </c>
      <c r="AA19" s="134">
        <f t="shared" si="18"/>
        <v>244</v>
      </c>
      <c r="AB19" s="134">
        <f t="shared" si="18"/>
        <v>39</v>
      </c>
      <c r="AC19" s="134">
        <f t="shared" si="18"/>
        <v>0</v>
      </c>
      <c r="AD19" s="134">
        <f t="shared" si="18"/>
        <v>0</v>
      </c>
      <c r="AE19" s="134">
        <f t="shared" si="18"/>
        <v>0</v>
      </c>
      <c r="AF19" s="134">
        <f t="shared" si="18"/>
        <v>0</v>
      </c>
      <c r="AG19" s="134">
        <f t="shared" si="18"/>
        <v>83</v>
      </c>
      <c r="AH19" s="134">
        <f t="shared" si="18"/>
        <v>256</v>
      </c>
      <c r="AI19" s="134">
        <f t="shared" si="18"/>
        <v>286</v>
      </c>
      <c r="AJ19" s="134">
        <f t="shared" si="18"/>
        <v>53</v>
      </c>
      <c r="AK19" s="134">
        <f t="shared" si="18"/>
        <v>0</v>
      </c>
      <c r="AL19" s="134">
        <f t="shared" si="18"/>
        <v>1</v>
      </c>
      <c r="AM19" s="134">
        <f t="shared" si="18"/>
        <v>1</v>
      </c>
      <c r="AN19" s="210">
        <f t="shared" si="18"/>
        <v>0</v>
      </c>
      <c r="AO19" s="211">
        <v>4</v>
      </c>
      <c r="AP19" s="211">
        <v>3</v>
      </c>
      <c r="AQ19" s="211">
        <v>3</v>
      </c>
      <c r="AR19" s="211">
        <v>3</v>
      </c>
      <c r="AS19" s="153">
        <f t="shared" si="18"/>
        <v>0</v>
      </c>
      <c r="AT19" s="153">
        <f t="shared" si="18"/>
        <v>0</v>
      </c>
      <c r="AU19" s="211"/>
      <c r="AV19" s="212"/>
      <c r="AW19" s="211"/>
      <c r="AX19" s="212"/>
      <c r="AY19" s="133">
        <f>SUBTOTAL(9,AY9:AY18)</f>
        <v>2998</v>
      </c>
      <c r="AZ19" s="134">
        <f>SUBTOTAL(9,AZ9:AZ18)</f>
        <v>8660</v>
      </c>
      <c r="BA19" s="134">
        <f>SUBTOTAL(9,BA9:BA18)</f>
        <v>7398</v>
      </c>
      <c r="BB19" s="134">
        <f>SUBTOTAL(9,BB9:BB18)</f>
        <v>4172</v>
      </c>
      <c r="BC19" s="135">
        <f>SUBTOTAL(9,BC9:BC18)</f>
        <v>1476</v>
      </c>
      <c r="BD19" s="213">
        <f>IF(ISNUMBER(BA19/AZ19),BA19/AZ19," - ")</f>
        <v>0.85427251732101617</v>
      </c>
      <c r="BE19" s="210">
        <f>IF(ISNUMBER(BB19/BA19),BB19/BA19, " - ")</f>
        <v>0.56393619897269531</v>
      </c>
      <c r="BF19" s="210">
        <f>IF(ISNUMBER(BC19/BA19),BC19/BA19, " - ")</f>
        <v>0.19951338199513383</v>
      </c>
      <c r="BG19" s="135">
        <f>IF(ISNUMBER((AY19+AZ19)/BA19),(AY19+AZ19)/BA19," - ")</f>
        <v>1.5758313057583131</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UNc9NR68KqBg0oWJKHfzlKQZIXqMOXFfUCXHPtytcOKUOekHm9FMrIB4/gabX7vqF/xHWCdk2qGSd+JLHDrvA==" saltValue="eWwt4TAf8hIG3/A2ogUMC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oWnZIynsRRWqYQ5vwTKmzYKU77+s4fQgfdQOzPYF47YyvEYsDvbMqZ+TGrffOCSZJ6dHHUx68EslBxyPDaU8Q==" saltValue="yHZdi+MGBlqQdtaiFJzOj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QUART DE POBLET</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1200</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19</v>
      </c>
      <c r="AD10" s="334"/>
      <c r="AE10" s="484"/>
      <c r="AF10" s="332">
        <f>IF(ISNUMBER(Datos!L10),Datos!L10,"-")</f>
        <v>0</v>
      </c>
      <c r="AG10" s="334"/>
      <c r="AH10" s="334"/>
      <c r="AI10" s="334"/>
      <c r="AJ10" s="334"/>
      <c r="AK10" s="334"/>
      <c r="AL10" s="479"/>
      <c r="AM10" s="335">
        <f>IF(ISNUMBER(Datos!R10),Datos!R10," - ")</f>
        <v>45</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4</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-0.296875</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1600</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1323</v>
      </c>
      <c r="BZ11" s="1186">
        <f>Datos!EZ11</f>
        <v>0</v>
      </c>
    </row>
    <row r="12" spans="1:78"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220</v>
      </c>
      <c r="O12" s="334"/>
      <c r="P12" s="334"/>
      <c r="Q12" s="226">
        <f>IF(ISNUMBER(Datos!P12),Datos!P12,0)</f>
        <v>800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317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39</v>
      </c>
      <c r="AI12" s="334" t="str">
        <f>IF(ISNUMBER(Datos!CD12),Datos!CD12,"-")</f>
        <v>-</v>
      </c>
      <c r="AJ12" s="334" t="str">
        <f>IF(ISNUMBER(Datos!EN12),Datos!EN12," - ")</f>
        <v xml:space="preserve"> - </v>
      </c>
      <c r="AK12" s="334"/>
      <c r="AL12" s="479"/>
      <c r="AM12" s="335">
        <f>IF(ISNUMBER(Datos!R12),Datos!R12," - ")</f>
        <v>3467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1668</v>
      </c>
      <c r="BD12" s="229">
        <f>IF(ISNUMBER(Datos!N12),Datos!N12," - ")</f>
        <v>1466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0.92105263157894735</v>
      </c>
      <c r="BH12" s="260">
        <f>IF(ISNUMBER(((IF(J_V="SI",Datos!L12/Datos!K12,(Datos!L12+Datos!AB12)/(Datos!K12+Datos!AA12)))*11)/factor_trimestre),((IF(J_V="SI",Datos!L12/Datos!K12,(Datos!L12+Datos!AB12)/(Datos!K12+Datos!AA12)))*11)/factor_trimestre," - ")</f>
        <v>7.8797533401849948</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0.16186327077747989</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680</v>
      </c>
      <c r="BZ12" s="1186">
        <f>Datos!EZ12</f>
        <v>0</v>
      </c>
    </row>
    <row r="13" spans="1:78" ht="15.75" thickTop="1" thickBot="1">
      <c r="A13" s="178"/>
      <c r="B13" s="178"/>
      <c r="C13" s="863" t="str">
        <f>Datos!A13</f>
        <v>TOTAL</v>
      </c>
      <c r="D13" s="897"/>
      <c r="E13" s="1164">
        <f t="shared" ref="E13:Z13" si="0">SUBTOTAL(9,E8:E12)</f>
        <v>3</v>
      </c>
      <c r="F13" s="898">
        <f t="shared" si="0"/>
        <v>0</v>
      </c>
      <c r="G13" s="898">
        <f t="shared" si="0"/>
        <v>4</v>
      </c>
      <c r="H13" s="899">
        <f t="shared" si="0"/>
        <v>0</v>
      </c>
      <c r="I13" s="898">
        <f t="shared" si="0"/>
        <v>0</v>
      </c>
      <c r="J13" s="867">
        <f t="shared" si="0"/>
        <v>0</v>
      </c>
      <c r="K13" s="867">
        <f t="shared" si="0"/>
        <v>0</v>
      </c>
      <c r="L13" s="899">
        <f t="shared" si="0"/>
        <v>0</v>
      </c>
      <c r="M13" s="899">
        <f t="shared" si="0"/>
        <v>0</v>
      </c>
      <c r="N13" s="899">
        <f t="shared" si="0"/>
        <v>220</v>
      </c>
      <c r="O13" s="900">
        <f t="shared" si="0"/>
        <v>0</v>
      </c>
      <c r="P13" s="900">
        <f t="shared" si="0"/>
        <v>0</v>
      </c>
      <c r="Q13" s="899">
        <f t="shared" si="0"/>
        <v>800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336</v>
      </c>
      <c r="AD13" s="899">
        <f t="shared" si="1"/>
        <v>0</v>
      </c>
      <c r="AE13" s="899">
        <f t="shared" si="1"/>
        <v>0</v>
      </c>
      <c r="AF13" s="899">
        <f t="shared" si="1"/>
        <v>0</v>
      </c>
      <c r="AG13" s="899">
        <f t="shared" si="1"/>
        <v>0</v>
      </c>
      <c r="AH13" s="899">
        <f t="shared" si="1"/>
        <v>39</v>
      </c>
      <c r="AI13" s="899">
        <f t="shared" si="1"/>
        <v>0</v>
      </c>
      <c r="AJ13" s="899">
        <f t="shared" si="1"/>
        <v>0</v>
      </c>
      <c r="AK13" s="899">
        <f t="shared" si="1"/>
        <v>0</v>
      </c>
      <c r="AL13" s="899">
        <f t="shared" si="1"/>
        <v>0</v>
      </c>
      <c r="AM13" s="899">
        <f t="shared" si="1"/>
        <v>3512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1668</v>
      </c>
      <c r="BD13" s="899">
        <f t="shared" si="1"/>
        <v>1470</v>
      </c>
      <c r="BE13" s="899">
        <f t="shared" si="1"/>
        <v>0</v>
      </c>
      <c r="BF13" s="899">
        <f t="shared" si="1"/>
        <v>0</v>
      </c>
      <c r="BG13" s="899">
        <f>IF(ISNUMBER(Datos!K13/Datos!J13),Datos!K13/Datos!J13," - ")</f>
        <v>0.91288028447254055</v>
      </c>
      <c r="BH13" s="903">
        <f>IF(ISNUMBER(((Datos!L13/Datos!K13)*11)/factor_trimestre),((Datos!L13/Datos!K13)*11)/factor_trimestre," - ")</f>
        <v>8.2029863665873179</v>
      </c>
      <c r="BI13" s="899">
        <f>IF(ISNUMBER('Resol  Asuntos'!D13/NºAsuntos!G13),'Resol  Asuntos'!D13/NºAsuntos!G13," - ")</f>
        <v>0.34285714285714286</v>
      </c>
      <c r="BJ13" s="899" t="str">
        <f>IF(ISNUMBER(Datos!CI13/Datos!CJ13),Datos!CI13/Datos!CJ13," - ")</f>
        <v xml:space="preserve"> - </v>
      </c>
      <c r="BK13" s="899">
        <f>SUBTOTAL(9,BK8:BK12)</f>
        <v>0</v>
      </c>
      <c r="BL13" s="899" t="str">
        <f>IF(ISNUMBER((I13-AB13+L13)/(F13)),(I13-AB13+L13)/(F13)," - ")</f>
        <v xml:space="preserve"> - </v>
      </c>
      <c r="BM13" s="904">
        <f>SUBTOTAL(9,BM9:BM12)</f>
        <v>-0.13501172922252011</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4803</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3300</v>
      </c>
      <c r="BZ15" s="1186">
        <f>Datos!EZ15</f>
        <v>0</v>
      </c>
    </row>
    <row r="16" spans="1:78"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962</v>
      </c>
      <c r="G16" s="598">
        <f>IF(ISNUMBER(IF(D_I="SI",Datos!I16,Datos!I16+Datos!AC16)),IF(D_I="SI",Datos!I16,Datos!I16+Datos!AC16)," - ")</f>
        <v>962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159</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2913</v>
      </c>
      <c r="AC16" s="226">
        <f>IF(ISNUMBER(Datos!Q16),Datos!Q16," - ")</f>
        <v>73</v>
      </c>
      <c r="AD16" s="334"/>
      <c r="AE16" s="484"/>
      <c r="AF16" s="596">
        <f>IF(ISNUMBER(IF(D_I="SI",Datos!L16,Datos!L16+Datos!AF16)),IF(D_I="SI",Datos!L16,Datos!L16+Datos!AF16)," - ")</f>
        <v>1328</v>
      </c>
      <c r="AG16" s="334"/>
      <c r="AH16" s="334"/>
      <c r="AI16" s="334"/>
      <c r="AJ16" s="334"/>
      <c r="AK16" s="334"/>
      <c r="AL16" s="479"/>
      <c r="AM16" s="335">
        <f>IF(ISNUMBER(Datos!R16),Datos!R16," - ")</f>
        <v>179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360</v>
      </c>
      <c r="BD16" s="229">
        <f>IF(ISNUMBER(Datos!N16),Datos!N16," - ")</f>
        <v>1786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0.88838060384263495</v>
      </c>
      <c r="BH16" s="260">
        <f>IF(ISNUMBER(((IF(D_I="SI",Datos!L16/Datos!K16,(Datos!L16+Datos!AF16)/(Datos!K16+Datos!AE16)))*11)/factor_trimestre),((IF(D_I="SI",Datos!L16/Datos!K16,(Datos!L16+Datos!AF16)/(Datos!K16+Datos!AE16)))*11)/factor_trimestre," - ")</f>
        <v>5.0147614143494676</v>
      </c>
      <c r="BI16" s="243">
        <f>IF(ISNUMBER('Resol  Asuntos'!D16/NºAsuntos!G16),'Resol  Asuntos'!D16/NºAsuntos!G16," - ")</f>
        <v>0.12358393408856849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1000</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13</v>
      </c>
      <c r="AC17" s="226">
        <f>IF(ISNUMBER(Datos!Q17),Datos!Q17," - ")</f>
        <v>0</v>
      </c>
      <c r="AD17" s="334"/>
      <c r="AE17" s="484"/>
      <c r="AF17" s="332">
        <f>IF(ISNUMBER(Datos!L17),Datos!L17,"-")</f>
        <v>2</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4.333333333333333</v>
      </c>
      <c r="BH17" s="260">
        <f>IF(ISNUMBER(((IF(D_I="SI",Datos!L17/Datos!K17,(Datos!L17+Datos!AF17)/(Datos!K17+Datos!AE17)))*11)/factor_trimestre),((IF(D_I="SI",Datos!L17/Datos!K17,(Datos!L17+Datos!AF17)/(Datos!K17+Datos!AE17)))*11)/factor_trimestre," - ")</f>
        <v>1.6923076923076925</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1600</v>
      </c>
      <c r="BZ17" s="1186">
        <f>Datos!EZ17</f>
        <v>0</v>
      </c>
    </row>
    <row r="18" spans="1:78" ht="15.75" thickTop="1" thickBot="1">
      <c r="A18" s="178"/>
      <c r="B18" s="178"/>
      <c r="C18" s="863" t="str">
        <f>Datos!A18</f>
        <v>TOTAL</v>
      </c>
      <c r="D18" s="897"/>
      <c r="E18" s="1164">
        <f>SUBTOTAL(9,E15:E17)</f>
        <v>3</v>
      </c>
      <c r="F18" s="898">
        <f>SUBTOTAL(9,F15:F17)</f>
        <v>962</v>
      </c>
      <c r="G18" s="898">
        <f>SUBTOTAL(9,G15:G17)</f>
        <v>979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159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2926</v>
      </c>
      <c r="AC18" s="899">
        <f t="shared" si="4"/>
        <v>73</v>
      </c>
      <c r="AD18" s="899">
        <f t="shared" si="4"/>
        <v>0</v>
      </c>
      <c r="AE18" s="899">
        <f t="shared" si="4"/>
        <v>0</v>
      </c>
      <c r="AF18" s="899">
        <f t="shared" si="4"/>
        <v>1330</v>
      </c>
      <c r="AG18" s="899">
        <f t="shared" si="4"/>
        <v>0</v>
      </c>
      <c r="AH18" s="899">
        <f t="shared" si="4"/>
        <v>0</v>
      </c>
      <c r="AI18" s="899">
        <f t="shared" si="4"/>
        <v>0</v>
      </c>
      <c r="AJ18" s="899">
        <f t="shared" si="4"/>
        <v>0</v>
      </c>
      <c r="AK18" s="899">
        <f t="shared" si="4"/>
        <v>0</v>
      </c>
      <c r="AL18" s="899">
        <f t="shared" si="4"/>
        <v>0</v>
      </c>
      <c r="AM18" s="899">
        <f t="shared" si="4"/>
        <v>179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360</v>
      </c>
      <c r="BD18" s="899">
        <f t="shared" si="4"/>
        <v>1795</v>
      </c>
      <c r="BE18" s="899">
        <f t="shared" si="4"/>
        <v>0</v>
      </c>
      <c r="BF18" s="899">
        <f t="shared" si="4"/>
        <v>0</v>
      </c>
      <c r="BG18" s="899">
        <f>IF(ISNUMBER(Datos!K18/Datos!J18),Datos!K18/Datos!J18," - ")</f>
        <v>0.89152955514929921</v>
      </c>
      <c r="BH18" s="903">
        <f>IF(ISNUMBER(((Datos!L18/Datos!K18)*11)/factor_trimestre),((Datos!L18/Datos!K18)*11)/factor_trimestre," - ")</f>
        <v>5</v>
      </c>
      <c r="BI18" s="899">
        <f>SUBTOTAL(9,BI15:BI17)</f>
        <v>0.12358393408856849</v>
      </c>
      <c r="BJ18" s="899">
        <f>SUBTOTAL(9,BJ15:BJ17)</f>
        <v>0</v>
      </c>
      <c r="BK18" s="899">
        <f>SUBTOTAL(9,BK15:BK17)</f>
        <v>0</v>
      </c>
      <c r="BL18" s="899">
        <f>IF(ISNUMBER((I18-AB18+L18)/(F18)),(I18-AB18+L18)/(F18)," - ")</f>
        <v>-3.0415800415800414</v>
      </c>
      <c r="BM18" s="905">
        <f>IF(ISNUMBER((Datos!P18-Datos!Q18)/(Datos!R18-Datos!P18+Datos!Q18)),(Datos!P18-Datos!Q18)/(Datos!R18-Datos!P18+Datos!Q18)," - ")</f>
        <v>0.92473118279569888</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5900</v>
      </c>
      <c r="BZ18" s="1186"/>
    </row>
    <row r="19" spans="1:78" ht="18.75" customHeight="1" thickTop="1" thickBot="1">
      <c r="A19" s="172"/>
      <c r="B19" s="172"/>
      <c r="C19" s="818" t="str">
        <f>Datos!A19</f>
        <v>TOTAL JURISDICCIONES</v>
      </c>
      <c r="D19" s="818"/>
      <c r="E19" s="1166">
        <f t="shared" ref="E19:R19" si="6">SUBTOTAL(9,E9:E18)</f>
        <v>6</v>
      </c>
      <c r="F19" s="820">
        <f t="shared" si="6"/>
        <v>962</v>
      </c>
      <c r="G19" s="820">
        <f t="shared" si="6"/>
        <v>983</v>
      </c>
      <c r="H19" s="822">
        <f t="shared" si="6"/>
        <v>0</v>
      </c>
      <c r="I19" s="820">
        <f t="shared" si="6"/>
        <v>0</v>
      </c>
      <c r="J19" s="822">
        <f t="shared" si="6"/>
        <v>0</v>
      </c>
      <c r="K19" s="822">
        <f t="shared" si="6"/>
        <v>0</v>
      </c>
      <c r="L19" s="881">
        <f t="shared" si="6"/>
        <v>0</v>
      </c>
      <c r="M19" s="881">
        <f t="shared" si="6"/>
        <v>0</v>
      </c>
      <c r="N19" s="881">
        <f t="shared" si="6"/>
        <v>220</v>
      </c>
      <c r="O19" s="881">
        <f t="shared" si="6"/>
        <v>0</v>
      </c>
      <c r="P19" s="881">
        <f t="shared" si="6"/>
        <v>0</v>
      </c>
      <c r="Q19" s="822">
        <f t="shared" si="6"/>
        <v>959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2926</v>
      </c>
      <c r="AC19" s="821">
        <f t="shared" si="7"/>
        <v>409</v>
      </c>
      <c r="AD19" s="821">
        <f t="shared" si="7"/>
        <v>0</v>
      </c>
      <c r="AE19" s="821">
        <f t="shared" si="7"/>
        <v>0</v>
      </c>
      <c r="AF19" s="828">
        <f t="shared" si="7"/>
        <v>1330</v>
      </c>
      <c r="AG19" s="828">
        <f t="shared" si="7"/>
        <v>0</v>
      </c>
      <c r="AH19" s="828">
        <f t="shared" si="7"/>
        <v>39</v>
      </c>
      <c r="AI19" s="828">
        <f t="shared" si="7"/>
        <v>0</v>
      </c>
      <c r="AJ19" s="821">
        <f t="shared" si="7"/>
        <v>0</v>
      </c>
      <c r="AK19" s="828">
        <f t="shared" si="7"/>
        <v>0</v>
      </c>
      <c r="AL19" s="828">
        <f t="shared" si="7"/>
        <v>0</v>
      </c>
      <c r="AM19" s="828">
        <f t="shared" si="7"/>
        <v>3691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2028</v>
      </c>
      <c r="BD19" s="820">
        <f t="shared" si="7"/>
        <v>3265</v>
      </c>
      <c r="BE19" s="820">
        <f t="shared" si="7"/>
        <v>0</v>
      </c>
      <c r="BF19" s="830">
        <f t="shared" si="7"/>
        <v>0</v>
      </c>
      <c r="BG19" s="915">
        <f>IF(ISNUMBER(Datos!K19/Datos!J19),Datos!K19/Datos!J19," - ")</f>
        <v>0.90448226270373921</v>
      </c>
      <c r="BH19" s="915">
        <f>IF(ISNUMBER(((Datos!L19/Datos!K19)*11)/factor_trimestre),((Datos!L19/Datos!K19)*11)/factor_trimestre," - ")</f>
        <v>6.9611766264740957</v>
      </c>
      <c r="BI19" s="813">
        <f>IF(ISNUMBER(Datos!J19/Datos!I19),Datos!J19/Datos!I19," - ")</f>
        <v>2.025734401553775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-3.0415800415800414</v>
      </c>
      <c r="BM19" s="889">
        <f>IF(ISNUMBER((Datos!P19-Datos!Q19+R19)/(Datos!R19-Datos!P19+Datos!Q19-R19)),(Datos!P19-Datos!Q19+R19)/(Datos!R19-Datos!P19+Datos!Q19-R19)," - ")</f>
        <v>0.17510347023241005</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10703</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393.2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1.5811388300841898</v>
      </c>
      <c r="F21" s="551">
        <f>IF(ISNUMBER(STDEV(F8:F18)),STDEV(F8:F18),"-")</f>
        <v>555.41095896041998</v>
      </c>
      <c r="G21" s="552">
        <f>IF(ISNUMBER(STDEV(G8:G18)),STDEV(G8:G18),"-")</f>
        <v>527.06138162456944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1596.7179776028077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785.08496355490092</v>
      </c>
      <c r="BD21" s="551"/>
      <c r="BE21" s="551">
        <f>IF(ISNUMBER(STDEV(BE8:BE18)),STDEV(BE8:BE18),"-")</f>
        <v>0</v>
      </c>
      <c r="BF21" s="556">
        <f>IF(ISNUMBER(STDEV(BF8:BF18)),STDEV(BF8:BF18),"-")</f>
        <v>0</v>
      </c>
      <c r="BG21" s="775">
        <f>IF(ISNUMBER(STDEV(BG8:BG18)),STDEV(BG8:BG18),"-")</f>
        <v>1.5339482238256481</v>
      </c>
      <c r="BH21" s="776">
        <f>IF(ISNUMBER(STDEV(BH8:BH18)),STDEV(BH8:BH18),"-")</f>
        <v>2.6427514366410616</v>
      </c>
      <c r="BI21" s="249">
        <f>IF(ISNUMBER(STDEV(BI8:BI18)),STDEV(BI8:BI18),"-")</f>
        <v>0.14267050562546563</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1858.3781982626083</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28 feb. 2025</v>
      </c>
    </row>
    <row r="32" spans="1:78">
      <c r="C32" s="527"/>
      <c r="D32" s="527"/>
    </row>
  </sheetData>
  <sheetProtection algorithmName="SHA-512" hashValue="ymvKhsfpTvOBq8wBsXyvs4IiYROTp93G9fw9SB3IjyJQQ/nOelbdy0L/mnqP3t06PvMh64WPXuPD/rrJhRvFHw==" saltValue="SHhjV+0ZdD2Yyp+/vFltU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VALENCIA  Resumenes por Partidos Judiciales  QUART DE POBLET</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1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1200</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19</v>
      </c>
      <c r="AA10" s="332">
        <f>IF(ISNUMBER(Datos!L10),Datos!L10,"-")</f>
        <v>0</v>
      </c>
      <c r="AB10" s="334"/>
      <c r="AC10" s="334"/>
      <c r="AD10" s="484"/>
      <c r="AE10" s="484">
        <f>IF(ISNUMBER(Datos!R10),Datos!R10," - ")</f>
        <v>45</v>
      </c>
      <c r="AF10" s="229" t="str">
        <f>IF(ISNUMBER(Datos!BV10),Datos!BV10," - ")</f>
        <v xml:space="preserve"> - </v>
      </c>
      <c r="AG10" s="225" t="str">
        <f>IF(ISNUMBER(Datos!DV10),Datos!DV10," - ")</f>
        <v xml:space="preserve"> - </v>
      </c>
      <c r="AH10" s="298"/>
      <c r="AI10" s="227"/>
      <c r="AJ10" s="225">
        <f>IF(ISNUMBER(Datos!M10),Datos!M10," - ")</f>
        <v>0</v>
      </c>
      <c r="AK10" s="229">
        <f>IF(ISNUMBER(Datos!N10),Datos!N10," - ")</f>
        <v>4</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-0.296875</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1600</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1323</v>
      </c>
      <c r="BZ11" s="1186">
        <f>Datos!EZ11</f>
        <v>0</v>
      </c>
    </row>
    <row r="12" spans="1:78"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800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317</v>
      </c>
      <c r="AA12" s="332" t="str">
        <f>IF(ISNUMBER(IF(J_V="SI",Datos!L12,Datos!L12+Datos!AB12)-IF(Monitorios="SI",Datos!CD12,0)),
                          IF(J_V="SI",Datos!L12,Datos!L12+Datos!AB12)-IF(Monitorios="SI",Datos!CD12,0),
                          " - ")</f>
        <v xml:space="preserve"> - </v>
      </c>
      <c r="AB12" s="334"/>
      <c r="AC12" s="334"/>
      <c r="AD12" s="484"/>
      <c r="AE12" s="484">
        <f>IF(ISNUMBER(Datos!R12),Datos!R12," - ")</f>
        <v>3467</v>
      </c>
      <c r="AF12" s="229" t="str">
        <f>IF(ISNUMBER(Datos!BV12),Datos!BV12," - ")</f>
        <v xml:space="preserve"> - </v>
      </c>
      <c r="AG12" s="225" t="str">
        <f>IF(ISNUMBER(Datos!DV12),Datos!DV12," - ")</f>
        <v xml:space="preserve"> - </v>
      </c>
      <c r="AH12" s="298"/>
      <c r="AI12" s="227"/>
      <c r="AJ12" s="225">
        <f>IF(ISNUMBER(Datos!M12),Datos!M12," - ")</f>
        <v>1668</v>
      </c>
      <c r="AK12" s="229">
        <f>IF(ISNUMBER(Datos!N12),Datos!N12," - ")</f>
        <v>1466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7.8797533401849948</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0.16186327077747989</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680</v>
      </c>
      <c r="BZ12" s="1186">
        <f>Datos!EZ12</f>
        <v>0</v>
      </c>
    </row>
    <row r="13" spans="1:78" ht="15.75" thickTop="1" thickBot="1">
      <c r="A13" s="178"/>
      <c r="B13" s="178"/>
      <c r="C13" s="863" t="str">
        <f>Datos!A13</f>
        <v>TOTAL</v>
      </c>
      <c r="D13" s="863"/>
      <c r="E13" s="898">
        <f>SUBTOTAL(9,E8:E12)</f>
        <v>3</v>
      </c>
      <c r="F13" s="898">
        <f>SUBTOTAL(9,F8:F12)</f>
        <v>0</v>
      </c>
      <c r="G13" s="898">
        <f>SUBTOTAL(9,G8:G12)</f>
        <v>4</v>
      </c>
      <c r="H13" s="908"/>
      <c r="I13" s="898">
        <f t="shared" ref="I13:N13" si="0">SUBTOTAL(9,I8:I12)</f>
        <v>0</v>
      </c>
      <c r="J13" s="867">
        <f t="shared" si="0"/>
        <v>0</v>
      </c>
      <c r="K13" s="908">
        <f t="shared" si="0"/>
        <v>0</v>
      </c>
      <c r="L13" s="908">
        <f t="shared" si="0"/>
        <v>0</v>
      </c>
      <c r="M13" s="908">
        <f t="shared" si="0"/>
        <v>0</v>
      </c>
      <c r="N13" s="908">
        <f t="shared" si="0"/>
        <v>800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336</v>
      </c>
      <c r="AA13" s="900">
        <f t="shared" si="2"/>
        <v>0</v>
      </c>
      <c r="AB13" s="900">
        <f t="shared" si="2"/>
        <v>0</v>
      </c>
      <c r="AC13" s="900">
        <f t="shared" si="2"/>
        <v>0</v>
      </c>
      <c r="AD13" s="900">
        <f t="shared" si="2"/>
        <v>0</v>
      </c>
      <c r="AE13" s="900">
        <f t="shared" si="2"/>
        <v>3512</v>
      </c>
      <c r="AF13" s="908">
        <f t="shared" si="2"/>
        <v>0</v>
      </c>
      <c r="AG13" s="908">
        <f t="shared" si="2"/>
        <v>0</v>
      </c>
      <c r="AH13" s="908">
        <f t="shared" si="2"/>
        <v>0</v>
      </c>
      <c r="AI13" s="908">
        <f t="shared" si="2"/>
        <v>0</v>
      </c>
      <c r="AJ13" s="908">
        <f t="shared" si="2"/>
        <v>1668</v>
      </c>
      <c r="AK13" s="908">
        <f t="shared" si="2"/>
        <v>1470</v>
      </c>
      <c r="AL13" s="908">
        <f t="shared" si="2"/>
        <v>0</v>
      </c>
      <c r="AM13" s="908">
        <f t="shared" si="2"/>
        <v>0</v>
      </c>
      <c r="AN13" s="908">
        <f t="shared" si="2"/>
        <v>0</v>
      </c>
      <c r="AO13" s="904">
        <f>IF(ISNUMBER(((NºAsuntos!I13/NºAsuntos!G13)*11)/factor_trimestre),((NºAsuntos!I13/NºAsuntos!G13)*11)/factor_trimestre," - ")</f>
        <v>7.8797533401849948</v>
      </c>
      <c r="AP13" s="910" t="str">
        <f>IF(ISNUMBER(Datos!CI13/Datos!CJ13),Datos!CI13/Datos!CJ13," - ")</f>
        <v xml:space="preserve"> - </v>
      </c>
      <c r="AQ13" s="928">
        <f t="shared" ref="AQ13:AV13" si="3">SUBTOTAL(9,AQ9:AQ12)</f>
        <v>0</v>
      </c>
      <c r="AR13" s="928">
        <f t="shared" si="3"/>
        <v>-0.13501172922252011</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3300</v>
      </c>
      <c r="BZ15" s="1186">
        <f>Datos!EZ15</f>
        <v>0</v>
      </c>
    </row>
    <row r="16" spans="1:78" ht="14.25">
      <c r="A16" s="501">
        <f>Datos!AO16</f>
        <v>3</v>
      </c>
      <c r="B16" s="507" t="s">
        <v>396</v>
      </c>
      <c r="C16" s="160" t="str">
        <f>Datos!A16</f>
        <v xml:space="preserve">Jdos. 1ª Instª. e Instr.                        </v>
      </c>
      <c r="D16" s="502"/>
      <c r="E16" s="1168">
        <f>IF(ISNUMBER(Datos!AQ16),Datos!AQ16," - ")</f>
        <v>3</v>
      </c>
      <c r="F16" s="333">
        <f>IF(ISNUMBER(AA16+Y16-Datos!J16-K15),AA16+Y16-Datos!J16-K15," - ")</f>
        <v>962</v>
      </c>
      <c r="G16" s="225">
        <f>IF(ISNUMBER(IF(D_I="SI",Datos!I16,Datos!I16+Datos!AC16)),IF(D_I="SI",Datos!I16,Datos!I16+Datos!AC16)," - ")</f>
        <v>962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159</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2913</v>
      </c>
      <c r="Z16" s="619">
        <f>IF(ISNUMBER(Datos!Q16),Datos!Q16," - ")</f>
        <v>73</v>
      </c>
      <c r="AA16" s="332">
        <f>IF(ISNUMBER(IF(D_I="SI",Datos!L16,Datos!L16+Datos!AF16)),IF(D_I="SI",Datos!L16,Datos!L16+Datos!AF16)," - ")</f>
        <v>1328</v>
      </c>
      <c r="AB16" s="334"/>
      <c r="AC16" s="334"/>
      <c r="AD16" s="484"/>
      <c r="AE16" s="484">
        <f>IF(ISNUMBER(Datos!R16),Datos!R16," - ")</f>
        <v>179</v>
      </c>
      <c r="AF16" s="229" t="str">
        <f>IF(ISNUMBER(Datos!BV16),Datos!BV16," - ")</f>
        <v xml:space="preserve"> - </v>
      </c>
      <c r="AG16" s="225"/>
      <c r="AH16" s="298"/>
      <c r="AI16" s="227"/>
      <c r="AJ16" s="225">
        <f>IF(ISNUMBER(Datos!M16),Datos!M16," - ")</f>
        <v>360</v>
      </c>
      <c r="AK16" s="229">
        <f>IF(ISNUMBER(Datos!N16),Datos!N16," - ")</f>
        <v>1786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5.0147614143494676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1000</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13</v>
      </c>
      <c r="Z17" s="619">
        <f>IF(ISNUMBER(Datos!Q17),Datos!Q17," - ")</f>
        <v>0</v>
      </c>
      <c r="AA17" s="332">
        <f>IF(ISNUMBER(Datos!L17),Datos!L17,"-")</f>
        <v>2</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1.6923076923076925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1600</v>
      </c>
      <c r="BZ17" s="1186">
        <f>Datos!EZ17</f>
        <v>0</v>
      </c>
    </row>
    <row r="18" spans="1:78" ht="15.75" thickTop="1" thickBot="1">
      <c r="A18" s="178"/>
      <c r="B18" s="178"/>
      <c r="C18" s="863" t="str">
        <f>Datos!A18</f>
        <v>TOTAL</v>
      </c>
      <c r="D18" s="863"/>
      <c r="E18" s="1169">
        <f>SUBTOTAL(9,E15:E17)</f>
        <v>3</v>
      </c>
      <c r="F18" s="898">
        <f>SUBTOTAL(9,F15:F17)</f>
        <v>962</v>
      </c>
      <c r="G18" s="898">
        <f>SUBTOTAL(9,G15:G17)</f>
        <v>979</v>
      </c>
      <c r="H18" s="932">
        <f>SUBTOTAL(9,H15:H17)</f>
        <v>0</v>
      </c>
      <c r="I18" s="911">
        <f>SUBTOTAL(9,I15:I17)</f>
        <v>0</v>
      </c>
      <c r="J18" s="867">
        <f>SUBTOTAL(9,J14:J17)</f>
        <v>0</v>
      </c>
      <c r="K18" s="932">
        <f t="shared" ref="K18:S18" si="4">SUBTOTAL(9,K15:K17)</f>
        <v>0</v>
      </c>
      <c r="L18" s="932">
        <f t="shared" si="4"/>
        <v>0</v>
      </c>
      <c r="M18" s="932">
        <f t="shared" si="4"/>
        <v>0</v>
      </c>
      <c r="N18" s="932">
        <f t="shared" si="4"/>
        <v>159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2926</v>
      </c>
      <c r="Z18" s="932">
        <f t="shared" si="5"/>
        <v>73</v>
      </c>
      <c r="AA18" s="932">
        <f t="shared" si="5"/>
        <v>1330</v>
      </c>
      <c r="AB18" s="932">
        <f t="shared" si="5"/>
        <v>0</v>
      </c>
      <c r="AC18" s="932">
        <f t="shared" si="5"/>
        <v>0</v>
      </c>
      <c r="AD18" s="932">
        <f t="shared" si="5"/>
        <v>0</v>
      </c>
      <c r="AE18" s="932">
        <f t="shared" si="5"/>
        <v>179</v>
      </c>
      <c r="AF18" s="932">
        <f t="shared" si="5"/>
        <v>0</v>
      </c>
      <c r="AG18" s="932">
        <f t="shared" si="5"/>
        <v>0</v>
      </c>
      <c r="AH18" s="932">
        <f t="shared" si="5"/>
        <v>0</v>
      </c>
      <c r="AI18" s="932">
        <f t="shared" si="5"/>
        <v>0</v>
      </c>
      <c r="AJ18" s="932">
        <f t="shared" si="5"/>
        <v>360</v>
      </c>
      <c r="AK18" s="932">
        <f t="shared" si="5"/>
        <v>1795</v>
      </c>
      <c r="AL18" s="932">
        <f t="shared" si="5"/>
        <v>0</v>
      </c>
      <c r="AM18" s="932">
        <f t="shared" si="5"/>
        <v>0</v>
      </c>
      <c r="AN18" s="932">
        <f t="shared" si="5"/>
        <v>0</v>
      </c>
      <c r="AO18" s="934">
        <f>IF(ISNUMBER(((NºAsuntos!I18/NºAsuntos!G18)*11)/factor_trimestre),((NºAsuntos!I18/NºAsuntos!G18)*11)/factor_trimestre," - ")</f>
        <v>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6</v>
      </c>
      <c r="F19" s="820">
        <f t="shared" si="7"/>
        <v>962</v>
      </c>
      <c r="G19" s="820">
        <f t="shared" si="7"/>
        <v>983</v>
      </c>
      <c r="H19" s="821">
        <f t="shared" si="7"/>
        <v>0</v>
      </c>
      <c r="I19" s="820">
        <f t="shared" si="7"/>
        <v>0</v>
      </c>
      <c r="J19" s="822">
        <f t="shared" si="7"/>
        <v>0</v>
      </c>
      <c r="K19" s="820">
        <f t="shared" si="7"/>
        <v>0</v>
      </c>
      <c r="L19" s="823">
        <f t="shared" si="7"/>
        <v>0</v>
      </c>
      <c r="M19" s="820">
        <f t="shared" si="7"/>
        <v>0</v>
      </c>
      <c r="N19" s="821">
        <f t="shared" si="7"/>
        <v>959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2926</v>
      </c>
      <c r="Z19" s="827">
        <f t="shared" si="8"/>
        <v>409</v>
      </c>
      <c r="AA19" s="828">
        <f t="shared" si="8"/>
        <v>1330</v>
      </c>
      <c r="AB19" s="828">
        <f t="shared" si="8"/>
        <v>0</v>
      </c>
      <c r="AC19" s="828">
        <f t="shared" si="8"/>
        <v>0</v>
      </c>
      <c r="AD19" s="829">
        <f t="shared" si="8"/>
        <v>0</v>
      </c>
      <c r="AE19" s="829">
        <f t="shared" si="8"/>
        <v>3691</v>
      </c>
      <c r="AF19" s="830">
        <f t="shared" si="8"/>
        <v>0</v>
      </c>
      <c r="AG19" s="831">
        <f t="shared" si="8"/>
        <v>0</v>
      </c>
      <c r="AH19" s="832">
        <f t="shared" si="8"/>
        <v>0</v>
      </c>
      <c r="AI19" s="830">
        <f t="shared" si="8"/>
        <v>0</v>
      </c>
      <c r="AJ19" s="820">
        <f t="shared" si="8"/>
        <v>2028</v>
      </c>
      <c r="AK19" s="820">
        <f t="shared" si="8"/>
        <v>3265</v>
      </c>
      <c r="AL19" s="820">
        <f t="shared" si="8"/>
        <v>0</v>
      </c>
      <c r="AM19" s="833">
        <f t="shared" si="8"/>
        <v>0</v>
      </c>
      <c r="AN19" s="823">
        <f>IF(ISNUMBER(Datos!K19/Datos!J19),Datos!K19/Datos!J19," - ")</f>
        <v>0.90448226270373921</v>
      </c>
      <c r="AO19" s="823">
        <f>IF(ISNUMBER(FIND("06",Criterios!A8,1)),(IF(ISNUMBER(((Datos!R19/Datos!Q19)*11)/factor_trimestre),((Datos!R19/Datos!Q19)*11)/factor_trimestre," - ")),(IF(ISNUMBER(((Datos!L19/Datos!K19)*11)/factor_trimestre),((Datos!L19/Datos!K19)*11)/factor_trimestre," - ")))</f>
        <v>6.9611766264740957</v>
      </c>
      <c r="AP19" s="834" t="str">
        <f>IF(ISNUMBER(Datos!CI19/Datos!CJ19),Datos!CI19/Datos!CJ19," - ")</f>
        <v xml:space="preserve"> - </v>
      </c>
      <c r="AQ19" s="834">
        <f>IF(OR(ISNUMBER(FIND("01",Criterios!A8,1)),ISNUMBER(FIND("02",Criterios!A8,1)),ISNUMBER(FIND("03",Criterios!A8,1)),ISNUMBER(FIND("04",Criterios!A8,1))),(J19-Y19+K19)/(F19-K19),(I19-Y19+K19)/(F19-K19))</f>
        <v>-3.0415800415800414</v>
      </c>
      <c r="AR19" s="834">
        <f>IF(ISNUMBER((Datos!P19-Datos!Q19+O19)/(Datos!R19-Datos!P19+Datos!Q19-O19)),(Datos!P19-Datos!Q19+O19)/(Datos!R19-Datos!P19+Datos!Q19-O19)," - ")</f>
        <v>0.17510347023241005</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393.2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555.41095896041998</v>
      </c>
      <c r="G21" s="552">
        <f>IF(ISNUMBER(STDEV(G8:G18)),STDEV(G8:G18),"-")</f>
        <v>527.06138162456944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785.08496355490092</v>
      </c>
      <c r="AK21" s="252"/>
      <c r="AL21" s="252">
        <f>IF(ISNUMBER(STDEV(AL8:AL18)),STDEV(AL8:AL18),"-")</f>
        <v>0</v>
      </c>
      <c r="AM21" s="254">
        <f>IF(ISNUMBER(STDEV(AM8:AM18)),STDEV(AM8:AM18),"-")</f>
        <v>0</v>
      </c>
      <c r="AN21" s="539">
        <f>IF(ISNUMBER(STDEV(AN8:AN18)),STDEV(AN8:AN18),"-")</f>
        <v>0</v>
      </c>
      <c r="AO21" s="540">
        <f>IF(ISNUMBER(STDEV(AO8:AO18)),STDEV(AO8:AO18),"-")</f>
        <v>2.5646737453184962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846.34921870348535</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28 feb. 2025</v>
      </c>
    </row>
    <row r="32" spans="1:78" ht="13.5" thickBot="1">
      <c r="C32" s="536"/>
      <c r="D32" s="527"/>
      <c r="E32" s="527"/>
    </row>
    <row r="33" spans="12:12" ht="15" thickBot="1">
      <c r="L33" s="546"/>
    </row>
  </sheetData>
  <sheetProtection algorithmName="SHA-512" hashValue="upv82pGHBvsSQdbijFQkyubotFMK7rAUjht8GgLbza+Koa/le6uo1R2XmP33bCEiiAfUYFsJQivD9a2JuoSOlQ==" saltValue="FPEM70vXa6iMVDezUF9c+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qCxusW/+Ovztb3fMclBrncNRsGo46HeKRTVgfwuO3oDOFrsu8WEBCigE96fqkJKj8d6MAUMj86UNNzX1t+AKwA==" saltValue="7HgXv3E+sNKcAMQBaxktd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0UuKAKbdWLpRhDaixs46hAVijUjRmYJh7J8Qgy16SSnilhgCPaQPiNtvLzuIhoBEuTYh6ixnwpbimiFsTBiQQ==" saltValue="13trAb5/XiBumg/g6iq87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QUART DE POBLET</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0.34285714285714286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0.24243661069253059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28 feb. 2025</v>
      </c>
    </row>
    <row r="32" spans="1:78">
      <c r="C32" s="774"/>
      <c r="D32" s="774"/>
    </row>
  </sheetData>
  <sheetProtection algorithmName="SHA-512" hashValue="iHXZhPDEE8OytEpdkfYmwBvVGwAmLpW4sg3xQvVXJoaTWooixjupXBUT4N920wklUc+FMGd+G08BVCVUpc8tTQ==" saltValue="u63nyHvnsMWyvDvz1L0v9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pXaxvQJprC1GBzWw6o3FJx2TY2Mr77gnVJ4Jg/wNoPtk5vERD9tCSERqm0Fp0XjESKvGcfy49OFKsArRp9rHBA==" saltValue="I5tcejo8UO3MtoAJBcNKi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VALENCIA</v>
      </c>
      <c r="D3" s="375"/>
      <c r="E3" s="375"/>
      <c r="F3" s="375"/>
      <c r="BQ3" s="471"/>
    </row>
    <row r="4" spans="1:69" ht="13.5" thickBot="1">
      <c r="A4" s="375"/>
      <c r="B4" s="391" t="str">
        <f>Criterios!A11 &amp;"  "&amp;Criterios!B11</f>
        <v>Resumenes por Partidos Judiciales  QUART DE POBLET</v>
      </c>
      <c r="C4" s="375"/>
      <c r="D4" s="375"/>
      <c r="E4" s="375"/>
      <c r="F4" s="375"/>
      <c r="BQ4" s="471"/>
    </row>
    <row r="5" spans="1:69" ht="15.75" customHeight="1">
      <c r="A5" s="1198" t="str">
        <f>"Año:  " &amp;Criterios!B5 &amp; "     Trimestre   " &amp;Criterios!D5 &amp; " al " &amp;Criterios!D6</f>
        <v>Año:  2024     Trimestre   1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4</v>
      </c>
      <c r="D10" s="404">
        <f>IF(ISNUMBER(C10/Datos!BH10),C10/Datos!BH10," - ")</f>
        <v>4</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3</v>
      </c>
      <c r="C12" s="403">
        <f>IF(ISNUMBER(IF(J_V="SI",Datos!I12,Datos!I12+Datos!Y12)),IF(J_V="SI",Datos!I12,Datos!I12+Datos!Y12)," - ")</f>
        <v>3189</v>
      </c>
      <c r="D12" s="404">
        <f>IF(ISNUMBER(C12/Datos!BH12),C12/Datos!BH12," - ")</f>
        <v>1063</v>
      </c>
      <c r="E12" s="403">
        <f>IF(ISNUMBER(IF(J_V="SI",Datos!J12,Datos!J12+Datos!Z12)),IF(J_V="SI",Datos!J12,Datos!J12+Datos!Z12)," - ")</f>
        <v>5282</v>
      </c>
      <c r="F12" s="404">
        <f>IF(ISNUMBER(E12/B12),E12/B12," - ")</f>
        <v>1760.6666666666667</v>
      </c>
      <c r="G12" s="403">
        <f>IF(ISNUMBER(IF(J_V="SI",Datos!K12,Datos!K12+Datos!AA12)),IF(J_V="SI",Datos!K12,Datos!K12+Datos!AA12)," - ")</f>
        <v>4865</v>
      </c>
      <c r="H12" s="404">
        <f>IF(ISNUMBER(G12/B12),G12/B12," - ")</f>
        <v>1621.6666666666667</v>
      </c>
      <c r="I12" s="403">
        <f>IF(ISNUMBER(IF(J_V="SI",Datos!L12,Datos!L12+Datos!AB12)),IF(J_V="SI",Datos!L12,Datos!L12+Datos!AB12)," - ")</f>
        <v>3485</v>
      </c>
      <c r="J12" s="404">
        <f>IF(ISNUMBER(I12/B12),I12/B12," - ")</f>
        <v>1161.6666666666667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3</v>
      </c>
      <c r="C13" s="849">
        <f>SUBTOTAL(9,C8:C12)</f>
        <v>3193</v>
      </c>
      <c r="D13" s="850" t="str">
        <f>IF(ISNUMBER(C13/Datos!BI13),C13/Datos!BI13," - ")</f>
        <v xml:space="preserve"> - </v>
      </c>
      <c r="E13" s="849">
        <f>SUBTOTAL(9,E8:E12)</f>
        <v>5282</v>
      </c>
      <c r="F13" s="850">
        <f>IF(ISNUMBER(E13/B13),E13/B13," - ")</f>
        <v>1760.6666666666667</v>
      </c>
      <c r="G13" s="849">
        <f>SUBTOTAL(9,G8:G12)</f>
        <v>4865</v>
      </c>
      <c r="H13" s="850">
        <f>IF(ISNUMBER(G13/B13),G13/B13," - ")</f>
        <v>1621.6666666666667</v>
      </c>
      <c r="I13" s="849">
        <f>SUBTOTAL(9,I8:I12)</f>
        <v>3485</v>
      </c>
      <c r="J13" s="850">
        <f>IF(ISNUMBER(I13/B13),I13/B13," - ")</f>
        <v>1161.6666666666667</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3</v>
      </c>
      <c r="C16" s="403">
        <f>IF(ISNUMBER(IF(D_I="SI",Datos!I16,Datos!I16+Datos!AC16)),IF(D_I="SI",Datos!I16,Datos!I16+Datos!AC16)," - ")</f>
        <v>962</v>
      </c>
      <c r="D16" s="404">
        <f>IF(ISNUMBER(C16/Datos!BH16),C16/Datos!BH16," - ")</f>
        <v>320.66666666666669</v>
      </c>
      <c r="E16" s="403">
        <f>IF(ISNUMBER(IF(D_I="SI",Datos!J16,Datos!J16+Datos!AD16)),IF(D_I="SI",Datos!J16,Datos!J16+Datos!AD16)," - ")</f>
        <v>3279</v>
      </c>
      <c r="F16" s="404">
        <f>IF(ISNUMBER(E16/B16),E16/B16," - ")</f>
        <v>1093</v>
      </c>
      <c r="G16" s="403">
        <f>IF(ISNUMBER(IF(D_I="SI",Datos!K16,Datos!K16+Datos!AE16)),IF(D_I="SI",Datos!K16,Datos!K16+Datos!AE16)," - ")</f>
        <v>2913</v>
      </c>
      <c r="H16" s="404">
        <f>IF(ISNUMBER(G16/B16),G16/B16," - ")</f>
        <v>971</v>
      </c>
      <c r="I16" s="403">
        <f>IF(ISNUMBER(IF(D_I="SI",Datos!L16,Datos!L16+Datos!AF16)),IF(D_I="SI",Datos!L16,Datos!L16+Datos!AF16)," - ")</f>
        <v>1328</v>
      </c>
      <c r="J16" s="404">
        <f>IF(ISNUMBER(I16/B16),I16/B16," - ")</f>
        <v>442.66666666666669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17</v>
      </c>
      <c r="D17" s="404">
        <f>IF(ISNUMBER(C17/Datos!BH17),C17/Datos!BH17," - ")</f>
        <v>17</v>
      </c>
      <c r="E17" s="403">
        <f>IF(ISNUMBER(IF(D_I="SI",Datos!J17,Datos!J17+Datos!AD17)),IF(D_I="SI",Datos!J17,Datos!J17+Datos!AD17)," - ")</f>
        <v>3</v>
      </c>
      <c r="F17" s="404">
        <f>IF(ISNUMBER(E17/B17),E17/B17," - ")</f>
        <v>3</v>
      </c>
      <c r="G17" s="403">
        <f>IF(ISNUMBER(IF(D_I="SI",Datos!K17,Datos!K17+Datos!AE17)),IF(D_I="SI",Datos!K17,Datos!K17+Datos!AE17)," - ")</f>
        <v>13</v>
      </c>
      <c r="H17" s="404">
        <f>IF(ISNUMBER(G17/B17),G17/B17," - ")</f>
        <v>13</v>
      </c>
      <c r="I17" s="403">
        <f>IF(ISNUMBER(IF(D_I="SI",Datos!L17,Datos!L17+Datos!AF17)),IF(D_I="SI",Datos!L17,Datos!L17+Datos!AF17)," - ")</f>
        <v>2</v>
      </c>
      <c r="J17" s="404">
        <f>IF(ISNUMBER(I17/B17),I17/B17," - ")</f>
        <v>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979</v>
      </c>
      <c r="D18" s="850" t="str">
        <f>IF(ISNUMBER(C18/Datos!BI18),C18/Datos!BI18," - ")</f>
        <v xml:space="preserve"> - </v>
      </c>
      <c r="E18" s="849">
        <f>SUBTOTAL(9,E14:E17)</f>
        <v>3282</v>
      </c>
      <c r="F18" s="850">
        <f>IF(ISNUMBER(E18/B18),E18/B18," - ")</f>
        <v>1094</v>
      </c>
      <c r="G18" s="849">
        <f>SUBTOTAL(9,G14:G17)</f>
        <v>2926</v>
      </c>
      <c r="H18" s="850">
        <f>IF(ISNUMBER(G18/B18),G18/B18," - ")</f>
        <v>975.33333333333337</v>
      </c>
      <c r="I18" s="849">
        <f>SUBTOTAL(9,I14:I17)</f>
        <v>1330</v>
      </c>
      <c r="J18" s="850">
        <f>IF(ISNUMBER(I18/B18),I18/B18," - ")</f>
        <v>443.33333333333331</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v>
      </c>
      <c r="C19" s="794">
        <f>SUBTOTAL(9,C9:C18)</f>
        <v>4172</v>
      </c>
      <c r="D19" s="795" t="str">
        <f>IF(ISNUMBER(C19/Datos!BI19),C19/Datos!BI19," - ")</f>
        <v xml:space="preserve"> - </v>
      </c>
      <c r="E19" s="794">
        <f>SUBTOTAL(9,E9:E18)</f>
        <v>8564</v>
      </c>
      <c r="F19" s="795">
        <f>IF(ISNUMBER(E19/B19),E19/B19," - ")</f>
        <v>2854.6666666666665</v>
      </c>
      <c r="G19" s="794">
        <f>SUBTOTAL(9,G9:G18)</f>
        <v>7791</v>
      </c>
      <c r="H19" s="795">
        <f>IF(ISNUMBER(G19/B19),G19/B19," - ")</f>
        <v>2597</v>
      </c>
      <c r="I19" s="794">
        <f>SUBTOTAL(9,I9:I18)</f>
        <v>4815</v>
      </c>
      <c r="J19" s="795">
        <f>IF(ISNUMBER(I19/B19),I19/B19," - ")</f>
        <v>1605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28 feb. 2025</v>
      </c>
    </row>
    <row r="27" spans="1:69">
      <c r="A27" s="414"/>
    </row>
  </sheetData>
  <sheetProtection algorithmName="SHA-512" hashValue="gkCuTn0RGczSe14Sf3LpklZKimSgpTiRgmpiuDCUpDMT/GMgz3WFwkY4BKeJl7Tg57dt7um3LtgZWELJM2niAg==" saltValue="lpd764OIAj5hMASqSEJ+9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VALENCIA  Resumenes por Partidos Judiciales  QUART DE POBLET</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1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4</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800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317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3467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1668</v>
      </c>
      <c r="AM12" s="690">
        <f>IF(ISNUMBER(Datos!N12+DatosP!N16),Datos!N12+DatosP!N16," - ")</f>
        <v>1466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7.8797533401849948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0.16186327077747989</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3</v>
      </c>
      <c r="F13" s="938">
        <f t="shared" si="0"/>
        <v>0</v>
      </c>
      <c r="G13" s="938">
        <f t="shared" si="0"/>
        <v>4</v>
      </c>
      <c r="H13" s="938">
        <f t="shared" si="0"/>
        <v>0</v>
      </c>
      <c r="I13" s="940">
        <f t="shared" si="0"/>
        <v>0</v>
      </c>
      <c r="J13" s="939">
        <f t="shared" si="0"/>
        <v>0</v>
      </c>
      <c r="K13" s="939">
        <f t="shared" si="0"/>
        <v>0</v>
      </c>
      <c r="L13" s="941">
        <f t="shared" si="0"/>
        <v>0</v>
      </c>
      <c r="M13" s="941">
        <f t="shared" si="0"/>
        <v>0</v>
      </c>
      <c r="N13" s="939">
        <f t="shared" si="0"/>
        <v>800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317</v>
      </c>
      <c r="AE13" s="939">
        <f t="shared" si="1"/>
        <v>0</v>
      </c>
      <c r="AF13" s="939">
        <f t="shared" si="1"/>
        <v>0</v>
      </c>
      <c r="AG13" s="939">
        <f t="shared" si="1"/>
        <v>0</v>
      </c>
      <c r="AH13" s="939">
        <f t="shared" si="1"/>
        <v>3467</v>
      </c>
      <c r="AI13" s="939">
        <f t="shared" si="1"/>
        <v>0</v>
      </c>
      <c r="AJ13" s="939">
        <f t="shared" si="1"/>
        <v>0</v>
      </c>
      <c r="AK13" s="939">
        <f t="shared" si="1"/>
        <v>0</v>
      </c>
      <c r="AL13" s="939">
        <f t="shared" si="1"/>
        <v>1668</v>
      </c>
      <c r="AM13" s="939">
        <f t="shared" si="1"/>
        <v>1470</v>
      </c>
      <c r="AN13" s="939">
        <f t="shared" si="1"/>
        <v>0</v>
      </c>
      <c r="AO13" s="939">
        <f t="shared" si="1"/>
        <v>0</v>
      </c>
      <c r="AP13" s="944">
        <f>IF(ISNUMBER(((Datos!L13/Datos!K13)*11)/factor_trimestre),((Datos!L13/Datos!K13)*11)/factor_trimestre," - ")</f>
        <v>8.2029863665873179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0.16186327077747989</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v>
      </c>
      <c r="AQ18" s="944">
        <f>IF(ISNUMBER(((Datos!M18/Datos!L18)*11)/factor_trimestre),((Datos!M18/Datos!L18)*11)/factor_trimestre," - ")</f>
        <v>2.977443609022556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0.92473118279569888</v>
      </c>
      <c r="AW18" s="946">
        <f>IF(ISNUMBER((Datos!Q18-Datos!R18)/(Datos!S18-Datos!Q18+Datos!R18)),(Datos!Q18-Datos!R18)/(Datos!S18-Datos!Q18+Datos!R18)," - ")</f>
        <v>-9.4982078853046589E-2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3</v>
      </c>
      <c r="F19" s="951">
        <f t="shared" si="4"/>
        <v>0</v>
      </c>
      <c r="G19" s="951">
        <f t="shared" si="4"/>
        <v>4</v>
      </c>
      <c r="H19" s="951">
        <f t="shared" si="4"/>
        <v>0</v>
      </c>
      <c r="I19" s="952">
        <f t="shared" si="4"/>
        <v>0</v>
      </c>
      <c r="J19" s="953">
        <f t="shared" si="4"/>
        <v>0</v>
      </c>
      <c r="K19" s="953">
        <f t="shared" si="4"/>
        <v>0</v>
      </c>
      <c r="L19" s="953">
        <f t="shared" si="4"/>
        <v>0</v>
      </c>
      <c r="M19" s="953">
        <f t="shared" si="4"/>
        <v>0</v>
      </c>
      <c r="N19" s="952">
        <f t="shared" si="4"/>
        <v>800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317</v>
      </c>
      <c r="AE19" s="957">
        <f t="shared" si="5"/>
        <v>0</v>
      </c>
      <c r="AF19" s="958">
        <f t="shared" si="5"/>
        <v>0</v>
      </c>
      <c r="AG19" s="958">
        <f t="shared" si="5"/>
        <v>0</v>
      </c>
      <c r="AH19" s="958">
        <f t="shared" si="5"/>
        <v>3467</v>
      </c>
      <c r="AI19" s="958">
        <f t="shared" si="5"/>
        <v>0</v>
      </c>
      <c r="AJ19" s="959">
        <f t="shared" si="5"/>
        <v>0</v>
      </c>
      <c r="AK19" s="959">
        <f t="shared" si="5"/>
        <v>0</v>
      </c>
      <c r="AL19" s="951">
        <f t="shared" si="5"/>
        <v>1668</v>
      </c>
      <c r="AM19" s="951">
        <f t="shared" si="5"/>
        <v>1470</v>
      </c>
      <c r="AN19" s="951">
        <f t="shared" si="5"/>
        <v>0</v>
      </c>
      <c r="AO19" s="951">
        <f t="shared" si="5"/>
        <v>0</v>
      </c>
      <c r="AP19" s="951">
        <f>IF(ISNUMBER(((Datos!L19/Datos!K19)*11)/factor_trimestre),((Datos!L19/Datos!K19)*11)/factor_trimestre," - ")</f>
        <v>6.9611766264740957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0.17510347023241005</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2.6666666666666665</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1.5491933384829668</v>
      </c>
      <c r="F21" s="736">
        <f>IF(ISNUMBER(STDEV(F8:F18)),STDEV(F8:F18),"-")</f>
        <v>0</v>
      </c>
      <c r="G21" s="737">
        <f>IF(ISNUMBER(STDEV(G8:G18)),STDEV(G8:G18),"-")</f>
        <v>2.3094010767585034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963.02024900829576</v>
      </c>
      <c r="AM21" s="736"/>
      <c r="AN21" s="736">
        <f>IF(ISNUMBER(STDEV(AN8:AN18)),STDEV(AN8:AN18),"-")</f>
        <v>0</v>
      </c>
      <c r="AO21" s="742">
        <f>IF(ISNUMBER(STDEV(AO8:AO18)),STDEV(AO8:AO18),"-")</f>
        <v>0</v>
      </c>
      <c r="AP21" s="779">
        <f>IF(ISNUMBER(STDEV(AP8:AP18)),STDEV(AP8:AP18),"-")</f>
        <v>1.7633576189667299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28 feb. 2025</v>
      </c>
      <c r="W30"/>
      <c r="X30"/>
    </row>
    <row r="32" spans="1:78">
      <c r="C32" s="774"/>
      <c r="D32" s="774"/>
      <c r="W32"/>
      <c r="X32"/>
    </row>
  </sheetData>
  <sheetProtection algorithmName="SHA-512" hashValue="V2FebHTkRuREgwBK1q6PwWiAw0xEF7O/CLhp/sw/+83mLfcQ/vIhQYTR87i4youMk8YP9zE853AgxzsHewt6TQ==" saltValue="R5svJPCZkSWkrriNDSzkH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QUART DE POBLET</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28 feb. 2025</v>
      </c>
      <c r="B23" s="391"/>
      <c r="C23" s="391"/>
    </row>
    <row r="27" spans="1:13">
      <c r="A27" s="414"/>
      <c r="B27" s="414"/>
      <c r="C27" s="414"/>
    </row>
  </sheetData>
  <sheetProtection algorithmName="SHA-512" hashValue="k2alSgQgzBMN/wA1xrfkvWZf+GeLW0MKd/fRvZpk0edeOHCfYpNNVMvT7Jv3B1dTw485JJ0zWWa+Iv0vaSiXlw==" saltValue="u9XXjCu/TakrMS1xb3ZRB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VALENCIA</v>
      </c>
      <c r="C3" s="391"/>
      <c r="D3" s="425"/>
      <c r="BZ3" s="471"/>
    </row>
    <row r="4" spans="1:78" ht="13.5" thickBot="1">
      <c r="B4" s="391" t="str">
        <f>Criterios!A11 &amp;"  "&amp;Criterios!B11</f>
        <v>Resumenes por Partidos Judiciales  QUART DE POBLET</v>
      </c>
      <c r="BZ4" s="471"/>
    </row>
    <row r="5" spans="1:78" ht="15.75" customHeight="1">
      <c r="A5" s="1210" t="str">
        <f>"Año:  " &amp;Criterios!B5 &amp; "                  Trimestre   " &amp;Criterios!D5 &amp; " al " &amp;Criterios!D6</f>
        <v>Año:  2024                  Trimestre   1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4</v>
      </c>
      <c r="G10" s="404">
        <f>IF(ISNUMBER(F10/B10),F10/B10," - ")</f>
        <v>4</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3</v>
      </c>
      <c r="C12" s="410">
        <f>Datos!AQ12</f>
        <v>3</v>
      </c>
      <c r="D12" s="403">
        <f>IF(ISNUMBER(Datos!M12),Datos!M12," - ")</f>
        <v>1668</v>
      </c>
      <c r="E12" s="404">
        <f t="shared" si="0"/>
        <v>556</v>
      </c>
      <c r="F12" s="403">
        <f>IF(ISNUMBER(Datos!N12),Datos!N12," - ")</f>
        <v>1466</v>
      </c>
      <c r="G12" s="404">
        <f t="shared" si="1"/>
        <v>488.66666666666669</v>
      </c>
      <c r="H12" s="403">
        <f>IF(ISNUMBER(Datos!O12),Datos!O12," - ")</f>
        <v>1991</v>
      </c>
      <c r="I12" s="404">
        <f t="shared" si="2"/>
        <v>663.66666666666663</v>
      </c>
      <c r="BZ12" s="1186">
        <f>Datos!EZ12</f>
        <v>0</v>
      </c>
    </row>
    <row r="13" spans="1:78" ht="14.25" thickTop="1" thickBot="1">
      <c r="A13" s="848" t="str">
        <f>Datos!A13</f>
        <v>TOTAL</v>
      </c>
      <c r="B13" s="849">
        <f>Datos!AP13</f>
        <v>3</v>
      </c>
      <c r="C13" s="851">
        <f>Datos!AR13</f>
        <v>3</v>
      </c>
      <c r="D13" s="849">
        <f>SUBTOTAL(9,D9:D12)</f>
        <v>1668</v>
      </c>
      <c r="E13" s="850">
        <f t="shared" si="0"/>
        <v>556</v>
      </c>
      <c r="F13" s="849">
        <f>SUBTOTAL(9,F9:F12)</f>
        <v>1470</v>
      </c>
      <c r="G13" s="850">
        <f t="shared" si="1"/>
        <v>490</v>
      </c>
      <c r="H13" s="849">
        <f>SUBTOTAL(9,H9:H12)</f>
        <v>1991</v>
      </c>
      <c r="I13" s="850">
        <f>IF(ISNUMBER(H13/B13),H13/B13," - ")</f>
        <v>663.66666666666663</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3</v>
      </c>
      <c r="C16" s="428">
        <f>Datos!AQ16</f>
        <v>3</v>
      </c>
      <c r="D16" s="403">
        <f>IF(ISNUMBER(Datos!M16),Datos!M16," - ")</f>
        <v>360</v>
      </c>
      <c r="E16" s="404">
        <f t="shared" si="3"/>
        <v>120</v>
      </c>
      <c r="F16" s="403">
        <f>IF(ISNUMBER(Datos!N16),Datos!N16," - ")</f>
        <v>1786</v>
      </c>
      <c r="G16" s="404">
        <f t="shared" si="4"/>
        <v>595.33333333333337</v>
      </c>
      <c r="H16" s="403">
        <f>IF(ISNUMBER(Datos!O16),Datos!O16," - ")</f>
        <v>40</v>
      </c>
      <c r="I16" s="404">
        <f t="shared" si="5"/>
        <v>13.333333333333334</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9</v>
      </c>
      <c r="G17" s="404">
        <f>IF(ISNUMBER(F17/B17),F17/B17," - ")</f>
        <v>9</v>
      </c>
      <c r="H17" s="403">
        <f>IF(ISNUMBER(Datos!O17),Datos!O17," - ")</f>
        <v>0</v>
      </c>
      <c r="I17" s="404">
        <f t="shared" si="5"/>
        <v>0</v>
      </c>
      <c r="BZ17" s="1186">
        <f>Datos!EZ17</f>
        <v>0</v>
      </c>
    </row>
    <row r="18" spans="1:78" ht="14.25" thickTop="1" thickBot="1">
      <c r="A18" s="848" t="str">
        <f>Datos!A18</f>
        <v>TOTAL</v>
      </c>
      <c r="B18" s="849">
        <f>Datos!AP18</f>
        <v>3</v>
      </c>
      <c r="C18" s="851">
        <f>Datos!AR18</f>
        <v>3</v>
      </c>
      <c r="D18" s="849">
        <f>SUBTOTAL(9,D15:D17)</f>
        <v>360</v>
      </c>
      <c r="E18" s="850">
        <f t="shared" si="3"/>
        <v>120</v>
      </c>
      <c r="F18" s="849">
        <f>SUBTOTAL(9,F15:F17)</f>
        <v>1795</v>
      </c>
      <c r="G18" s="850">
        <f t="shared" si="4"/>
        <v>598.33333333333337</v>
      </c>
      <c r="H18" s="849">
        <f>SUBTOTAL(9,H15:H17)</f>
        <v>40</v>
      </c>
      <c r="I18" s="850">
        <f>IF(ISNUMBER(H18/B18),H18/B18," - ")</f>
        <v>13.333333333333334</v>
      </c>
      <c r="BZ18" s="1186"/>
    </row>
    <row r="19" spans="1:78" ht="14.25" thickTop="1" thickBot="1">
      <c r="A19" s="793" t="str">
        <f>Datos!A19</f>
        <v>TOTAL JURISDICCIONES</v>
      </c>
      <c r="B19" s="794">
        <f>Datos!AP19</f>
        <v>3</v>
      </c>
      <c r="C19" s="794">
        <f>Datos!AR19</f>
        <v>3</v>
      </c>
      <c r="D19" s="794">
        <f>SUBTOTAL(9,D8:D18)</f>
        <v>2028</v>
      </c>
      <c r="E19" s="795">
        <f>IF(ISNUMBER(D19/B19),D19/B19," - ")</f>
        <v>676</v>
      </c>
      <c r="F19" s="794">
        <f>SUBTOTAL(9,F8:F18)</f>
        <v>3265</v>
      </c>
      <c r="G19" s="795">
        <f>IF(ISNUMBER(F19/B19),F19/B19," - ")</f>
        <v>1088.3333333333333</v>
      </c>
      <c r="H19" s="794">
        <f>SUBTOTAL(9,H8:H18)</f>
        <v>2031</v>
      </c>
      <c r="I19" s="795">
        <f>IF(ISNUMBER(H19/B19),H19/B19," - ")</f>
        <v>677</v>
      </c>
    </row>
    <row r="22" spans="1:78">
      <c r="A22" s="391" t="str">
        <f>Criterios!A4</f>
        <v>Fecha Informe: 28 feb. 2025</v>
      </c>
    </row>
    <row r="27" spans="1:78">
      <c r="A27" s="414"/>
    </row>
  </sheetData>
  <sheetProtection algorithmName="SHA-512" hashValue="zVbvuHPbx4Djie6QBkvfGPH6IcTWPwA1DashlIaLG+qf1cnaR19fhj7U8RALFYmPxuSzGAPC+fQNwRTWy7pL4w==" saltValue="87OiWK86xt8zyHpelKimZ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QUART DE POBLET</v>
      </c>
    </row>
    <row r="5" spans="1:4" ht="12.75" customHeight="1">
      <c r="A5" s="1210" t="str">
        <f>"Año:  " &amp;Criterios!B5 &amp; "                  Trimestre   " &amp;Criterios!D5 &amp; " al " &amp;Criterios!D6</f>
        <v>Año:  2024                  Trimestre   1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19</v>
      </c>
      <c r="D10" s="408">
        <f>IF(ISNUMBER(Datos!R10),Datos!R10," - ")</f>
        <v>45</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800</v>
      </c>
      <c r="C12" s="434">
        <f>IF(ISNUMBER(Datos!Q12),Datos!Q12," - ")</f>
        <v>317</v>
      </c>
      <c r="D12" s="408">
        <f>IF(ISNUMBER(Datos!R12),Datos!R12," - ")</f>
        <v>3467</v>
      </c>
    </row>
    <row r="13" spans="1:4" ht="14.25" thickTop="1" thickBot="1">
      <c r="A13" s="848" t="str">
        <f>Datos!A13</f>
        <v>TOTAL</v>
      </c>
      <c r="B13" s="849">
        <f>SUBTOTAL(9,B9:B12)</f>
        <v>800</v>
      </c>
      <c r="C13" s="853">
        <f>SUBTOTAL(9,C9:C12)</f>
        <v>336</v>
      </c>
      <c r="D13" s="851">
        <f>SUBTOTAL(9,D9:D12)</f>
        <v>3512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159</v>
      </c>
      <c r="C16" s="434">
        <f>IF(ISNUMBER(Datos!Q16),Datos!Q16," - ")</f>
        <v>73</v>
      </c>
      <c r="D16" s="408">
        <f>IF(ISNUMBER(Datos!R16),Datos!R16," - ")</f>
        <v>179</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159</v>
      </c>
      <c r="C18" s="853">
        <f>SUBTOTAL(9,C15:C17)</f>
        <v>73</v>
      </c>
      <c r="D18" s="851">
        <f>SUBTOTAL(9,D15:D17)</f>
        <v>179</v>
      </c>
    </row>
    <row r="19" spans="1:4" ht="16.5" customHeight="1" thickTop="1" thickBot="1">
      <c r="A19" s="793" t="str">
        <f>Datos!A19</f>
        <v>TOTAL JURISDICCIONES</v>
      </c>
      <c r="B19" s="798">
        <f>SUBTOTAL(9,B8:B18)</f>
        <v>959</v>
      </c>
      <c r="C19" s="799">
        <f>SUBTOTAL(9,C8:C18)</f>
        <v>409</v>
      </c>
      <c r="D19" s="800">
        <f>SUBTOTAL(9,D8:D18)</f>
        <v>3691</v>
      </c>
    </row>
    <row r="20" spans="1:4" ht="7.5" customHeight="1"/>
    <row r="21" spans="1:4" ht="6" customHeight="1"/>
    <row r="22" spans="1:4">
      <c r="A22" s="391" t="str">
        <f>Criterios!A4</f>
        <v>Fecha Informe: 28 feb. 2025</v>
      </c>
    </row>
    <row r="27" spans="1:4">
      <c r="A27" s="414"/>
    </row>
  </sheetData>
  <sheetProtection algorithmName="SHA-512" hashValue="DmFeVPbU6iXVd4CJJ/8FA0U8+IIfiZYMwuzYc0n1BdS/6igxPY+oZVAlYRhxvyz0SFNE5AuYUPebqb9IavxjuQ==" saltValue="S3sY8vYQLbcS5zJdmJdjA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QUART DE POBLET</v>
      </c>
    </row>
    <row r="5" spans="1:11" ht="12.75" customHeight="1">
      <c r="A5" s="1210" t="str">
        <f>"Año:  " &amp;Criterios!B5 &amp; "    Trimestre   " &amp;Criterios!D5 &amp; " al " &amp;Criterios!D6</f>
        <v>Año:  2024    Trimestre   1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-0.6</v>
      </c>
      <c r="C10" s="456">
        <f>IF(ISNUMBER((Datos!J10-Datos!T10)/Datos!T10),(Datos!J10-Datos!T10)/Datos!T10," - ")</f>
        <v>-1</v>
      </c>
      <c r="D10" s="456">
        <f>IF(ISNUMBER((Datos!K10-Datos!U10)/Datos!U10),(Datos!K10-Datos!U10)/Datos!U10," - ")</f>
        <v>-1</v>
      </c>
      <c r="E10" s="456">
        <f>IF(ISNUMBER((Datos!L10-Datos!V10)/Datos!V10),(Datos!L10-Datos!V10)/Datos!V10," - ")</f>
        <v>-1</v>
      </c>
      <c r="F10" s="456">
        <f>IF(ISNUMBER((Datos!M10-Datos!W10)/Datos!W10),(Datos!M10-Datos!W10)/Datos!W10," - ")</f>
        <v>-1</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0.61223458038422651</v>
      </c>
      <c r="C12" s="456">
        <f>IF(ISNUMBER(
   IF(J_V="SI",(Datos!J12-Datos!T12)/Datos!T12,(Datos!J12+Datos!Z12-(Datos!T12+Datos!AH12))/(Datos!T12+Datos!AH12))
     ),IF(J_V="SI",(Datos!J12-Datos!T12)/Datos!T12,(Datos!J12+Datos!Z12-(Datos!T12+Datos!AH12))/(Datos!T12+Datos!AH12))," - ")</f>
        <v>-5.7795219407777383E-2</v>
      </c>
      <c r="D12" s="456">
        <f>IF(ISNUMBER(
   IF(J_V="SI",(Datos!K12-Datos!U12)/Datos!U12,(Datos!K12+Datos!AA12-(Datos!U12+Datos!AI12))/(Datos!U12+Datos!AI12))
     ),IF(J_V="SI",(Datos!K12-Datos!U12)/Datos!U12,(Datos!K12+Datos!AA12-(Datos!U12+Datos!AI12))/(Datos!U12+Datos!AI12))," - ")</f>
        <v>0.11582568807339449</v>
      </c>
      <c r="E12" s="456">
        <f>IF(ISNUMBER(
   IF(J_V="SI",(Datos!L12-Datos!V12)/Datos!V12,(Datos!L12+Datos!AB12-(Datos!V12+Datos!AJ12))/(Datos!V12+Datos!AJ12))
     ),IF(J_V="SI",(Datos!L12-Datos!V12)/Datos!V12,(Datos!L12+Datos!AB12-(Datos!V12+Datos!AJ12))/(Datos!V12+Datos!AJ12))," - ")</f>
        <v>9.2819065537786141E-2</v>
      </c>
      <c r="F12" s="456">
        <f>IF(ISNUMBER((Datos!M12-Datos!W12)/Datos!W12),(Datos!M12-Datos!W12)/Datos!W12," - ")</f>
        <v>7.4050225370251133E-2</v>
      </c>
      <c r="G12" s="457">
        <f>IF(ISNUMBER((Datos!N12-Datos!X12)/Datos!X12),(Datos!N12-Datos!X12)/Datos!X12," - ")</f>
        <v>0.27811682650392328</v>
      </c>
      <c r="H12" s="455">
        <f>IF(ISNUMBER(((NºAsuntos!G12/NºAsuntos!E12)-Datos!BD12)/Datos!BD12),((NºAsuntos!G12/NºAsuntos!E12)-Datos!BD12)/Datos!BD12," - ")</f>
        <v>0.18427088363109603</v>
      </c>
      <c r="I12" s="456">
        <f>IF(ISNUMBER(((NºAsuntos!I12/NºAsuntos!G12)-Datos!BE12)/Datos!BE12),((NºAsuntos!I12/NºAsuntos!G12)-Datos!BE12)/Datos!BE12," - ")</f>
        <v>-2.061847363931189E-2</v>
      </c>
      <c r="J12" s="461">
        <f>IF(ISNUMBER((('Resol  Asuntos'!D12/NºAsuntos!G12)-Datos!BF12)/Datos!BF12),(('Resol  Asuntos'!D12/NºAsuntos!G12)-Datos!BF12)/Datos!BF12," - ")</f>
        <v>0.30327562585627105</v>
      </c>
      <c r="K12" s="462">
        <f>IF(ISNUMBER((((NºAsuntos!C12+NºAsuntos!E12)/NºAsuntos!G12)-Datos!BG12)/Datos!BG12),(((NºAsuntos!C12+NºAsuntos!E12)/NºAsuntos!G12)-Datos!BG12)/Datos!BG12," - ")</f>
        <v>1.013655621614756E-3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0.60613682092555332</v>
      </c>
      <c r="C13" s="855">
        <f>IF(ISNUMBER(
   IF(J_V="SI",(Datos!J13-Datos!T13)/Datos!T13,(Datos!J13+Datos!Z13-(Datos!T13+Datos!AH13))/(Datos!T13+Datos!AH13))
     ),IF(J_V="SI",(Datos!J13-Datos!T13)/Datos!T13,(Datos!J13+Datos!Z13-(Datos!T13+Datos!AH13))/(Datos!T13+Datos!AH13))," - ")</f>
        <v>-5.8634824451969346E-2</v>
      </c>
      <c r="D13" s="855">
        <f>IF(ISNUMBER(
   IF(J_V="SI",(Datos!K13-Datos!U13)/Datos!U13,(Datos!K13+Datos!AA13-(Datos!U13+Datos!AI13))/(Datos!U13+Datos!AI13))
     ),IF(J_V="SI",(Datos!K13-Datos!U13)/Datos!U13,(Datos!K13+Datos!AA13-(Datos!U13+Datos!AI13))/(Datos!U13+Datos!AI13))," - ")</f>
        <v>0.1130176161061542</v>
      </c>
      <c r="E13" s="855">
        <f>IF(ISNUMBER(
   IF(J_V="SI",(Datos!L13-Datos!V13)/Datos!V13,(Datos!L13+Datos!AB13-(Datos!V13+Datos!AJ13))/(Datos!V13+Datos!AJ13))
     ),IF(J_V="SI",(Datos!L13-Datos!V13)/Datos!V13,(Datos!L13+Datos!AB13-(Datos!V13+Datos!AJ13))/(Datos!V13+Datos!AJ13))," - ")</f>
        <v>9.1450046977763863E-2</v>
      </c>
      <c r="F13" s="856">
        <f>IF(ISNUMBER((Datos!M13-Datos!W13)/Datos!W13),(Datos!M13-Datos!W13)/Datos!W13," - ")</f>
        <v>6.6496163682864456E-2</v>
      </c>
      <c r="G13" s="857">
        <f>IF(ISNUMBER((Datos!N13-Datos!X13)/Datos!X13),(Datos!N13-Datos!X13)/Datos!X13," - ")</f>
        <v>0.28160418482999128</v>
      </c>
      <c r="H13" s="857">
        <f>IF(ISNUMBER(((NºAsuntos!G13/NºAsuntos!E13)-Datos!BD13)/Datos!BD13),((NºAsuntos!G13/NºAsuntos!E13)-Datos!BD13)/Datos!BD13," - ")</f>
        <v>0.1823441582680104</v>
      </c>
      <c r="I13" s="857">
        <f>IF(ISNUMBER(((NºAsuntos!I13/NºAsuntos!G13)-Datos!BE13)/Datos!BE13),((NºAsuntos!I13/NºAsuntos!G13)-Datos!BE13)/Datos!BE13," - ")</f>
        <v>-1.9377563136730606E-2</v>
      </c>
      <c r="J13" s="857">
        <f>IF(ISNUMBER((('Resol  Asuntos'!D13/NºAsuntos!G13)-Datos!BF13)/Datos!BF13),(('Resol  Asuntos'!D13/NºAsuntos!G13)-Datos!BF13)/Datos!BF13," - ")</f>
        <v>0.29415247964470764</v>
      </c>
      <c r="K13" s="857">
        <f>IF(ISNUMBER((((NºAsuntos!C13+NºAsuntos!E13)/NºAsuntos!G13)-Datos!BG13)/Datos!BG13),(((NºAsuntos!C13+NºAsuntos!E13)/NºAsuntos!G13)-Datos!BG13)/Datos!BG13," - ")</f>
        <v>2.0311538260226582E-3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2.5586353944562899E-2</v>
      </c>
      <c r="C16" s="456">
        <f>IF(ISNUMBER(
   IF(D_I="SI",(Datos!J16-Datos!T16)/Datos!T16,(Datos!J16+Datos!AD16-(Datos!T16+Datos!AL16))/(Datos!T16+Datos!AL16))
     ),IF(D_I="SI",(Datos!J16-Datos!T16)/Datos!T16,(Datos!J16+Datos!AD16-(Datos!T16+Datos!AL16))/(Datos!T16+Datos!AL16))," - ")</f>
        <v>8.7201591511936336E-2</v>
      </c>
      <c r="D16" s="456">
        <f>IF(ISNUMBER(
   IF(D_I="SI",(Datos!K16-Datos!U16)/Datos!U16,(Datos!K16+Datos!AE16-(Datos!U16+Datos!AM16))/(Datos!U16+Datos!AM16))
     ),IF(D_I="SI",(Datos!K16-Datos!U16)/Datos!U16,(Datos!K16+Datos!AE16-(Datos!U16+Datos!AM16))/(Datos!U16+Datos!AM16))," - ")</f>
        <v>-8.8465464443688337E-3</v>
      </c>
      <c r="E16" s="456">
        <f>IF(ISNUMBER(
   IF(D_I="SI",(Datos!L16-Datos!V16)/Datos!V16,(Datos!L16+Datos!AF16-(Datos!V16+Datos!AN16))/(Datos!V16+Datos!AN16))
     ),IF(D_I="SI",(Datos!L16-Datos!V16)/Datos!V16,(Datos!L16+Datos!AF16-(Datos!V16+Datos!AN16))/(Datos!V16+Datos!AN16))," - ")</f>
        <v>0.38045738045738048</v>
      </c>
      <c r="F16" s="456">
        <f>IF(ISNUMBER((Datos!M16-Datos!W16)/Datos!W16),(Datos!M16-Datos!W16)/Datos!W16," - ")</f>
        <v>0.14285714285714285</v>
      </c>
      <c r="G16" s="457">
        <f>IF(ISNUMBER((Datos!N16-Datos!X16)/Datos!X16),(Datos!N16-Datos!X16)/Datos!X16," - ")</f>
        <v>-8.9704383282364936E-2</v>
      </c>
      <c r="H16" s="455">
        <f>IF(ISNUMBER(((NºAsuntos!G16/NºAsuntos!E16)-Datos!BD16)/Datos!BD16),((NºAsuntos!G16/NºAsuntos!E16)-Datos!BD16)/Datos!BD16," - ")</f>
        <v>-8.8344368428245279E-2</v>
      </c>
      <c r="I16" s="456">
        <f>IF(ISNUMBER(((NºAsuntos!I16/NºAsuntos!G16)-Datos!BE16)/Datos!BE16),((NºAsuntos!I16/NºAsuntos!G16)-Datos!BE16)/Datos!BE16," - ")</f>
        <v>0.3927786615737181</v>
      </c>
      <c r="J16" s="461">
        <f>IF(ISNUMBER((('Resol  Asuntos'!D16/NºAsuntos!G16)-Datos!BF16)/Datos!BF16),(('Resol  Asuntos'!D16/NºAsuntos!G16)-Datos!BF16)/Datos!BF16," - ")</f>
        <v>0.15305772154381847</v>
      </c>
      <c r="K16" s="462">
        <f>IF(ISNUMBER((((NºAsuntos!C16+NºAsuntos!E16)/NºAsuntos!G16)-Datos!BG16)/Datos!BG16),(((NºAsuntos!C16+NºAsuntos!E16)/NºAsuntos!G16)-Datos!BG16)/Datos!BG16," - ")</f>
        <v>8.2158086098613234E-2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-0.76388888888888884</v>
      </c>
      <c r="C17" s="456">
        <f>IF(ISNUMBER(
   IF(D_I="SI",(Datos!J17-Datos!T17)/Datos!T17,(Datos!J17+Datos!AD17-(Datos!T17+Datos!AL17))/(Datos!T17+Datos!AL17))
     ),IF(D_I="SI",(Datos!J17-Datos!T17)/Datos!T17,(Datos!J17+Datos!AD17-(Datos!T17+Datos!AL17))/(Datos!T17+Datos!AL17))," - ")</f>
        <v>-0.90909090909090906</v>
      </c>
      <c r="D17" s="456">
        <f>IF(ISNUMBER(
   IF(D_I="SI",(Datos!K17-Datos!U17)/Datos!U17,(Datos!K17+Datos!AE17-(Datos!U17+Datos!AM17))/(Datos!U17+Datos!AM17))
     ),IF(D_I="SI",(Datos!K17-Datos!U17)/Datos!U17,(Datos!K17+Datos!AE17-(Datos!U17+Datos!AM17))/(Datos!U17+Datos!AM17))," - ")</f>
        <v>-0.85227272727272729</v>
      </c>
      <c r="E17" s="456">
        <f>IF(ISNUMBER(
   IF(D_I="SI",(Datos!L17-Datos!V17)/Datos!V17,(Datos!L17+Datos!AF17-(Datos!V17+Datos!AN17))/(Datos!V17+Datos!AN17))
     ),IF(D_I="SI",(Datos!L17-Datos!V17)/Datos!V17,(Datos!L17+Datos!AF17-(Datos!V17+Datos!AN17))/(Datos!V17+Datos!AN17))," - ")</f>
        <v>-0.88235294117647056</v>
      </c>
      <c r="F17" s="456">
        <f>IF(ISNUMBER((Datos!M17-Datos!W17)/Datos!W17),(Datos!M17-Datos!W17)/Datos!W17," - ")</f>
        <v>-1</v>
      </c>
      <c r="G17" s="457">
        <f>IF(ISNUMBER((Datos!N17-Datos!X17)/Datos!X17),(Datos!N17-Datos!X17)/Datos!X17," - ")</f>
        <v>-0.83636363636363631</v>
      </c>
      <c r="H17" s="455">
        <f>IF(ISNUMBER(((NºAsuntos!G17/NºAsuntos!E17)-Datos!BD17)/Datos!BD17),((NºAsuntos!G17/NºAsuntos!E17)-Datos!BD17)/Datos!BD17," - ")</f>
        <v>0.625</v>
      </c>
      <c r="I17" s="456">
        <f>IF(ISNUMBER(((NºAsuntos!I17/NºAsuntos!G17)-Datos!BE17)/Datos!BE17),((NºAsuntos!I17/NºAsuntos!G17)-Datos!BE17)/Datos!BE17," - ")</f>
        <v>-0.20361990950226239</v>
      </c>
      <c r="J17" s="461">
        <f>IF(ISNUMBER((('Resol  Asuntos'!D17/NºAsuntos!G17)-Datos!BF17)/Datos!BF17),(('Resol  Asuntos'!D17/NºAsuntos!G17)-Datos!BF17)/Datos!BF17," - ")</f>
        <v>-1</v>
      </c>
      <c r="K17" s="462">
        <f>IF(ISNUMBER((((NºAsuntos!C17+NºAsuntos!E17)/NºAsuntos!G17)-Datos!BG17)/Datos!BG17),(((NºAsuntos!C17+NºAsuntos!E17)/NºAsuntos!G17)-Datos!BG17)/Datos!BG17," - ")</f>
        <v>0.28937728937728951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-3.0693069306930693E-2</v>
      </c>
      <c r="C18" s="855">
        <f>IF(ISNUMBER(
   IF(Criterios!B14="SI",(Datos!J18-Datos!T18)/Datos!T18,(Datos!J18+Datos!AD18-(Datos!T18+Datos!AL18))/(Datos!T18+Datos!AL18))
     ),IF(Criterios!B14="SI",(Datos!J18-Datos!T18)/Datos!T18,(Datos!J18+Datos!AD18-(Datos!T18+Datos!AL18))/(Datos!T18+Datos!AL18))," - ")</f>
        <v>7.6418497868153495E-2</v>
      </c>
      <c r="D18" s="855">
        <f>IF(ISNUMBER(
   IF(Criterios!B14="SI",(Datos!K18-Datos!U18)/Datos!U18,(Datos!K18+Datos!AE18-(Datos!U18+Datos!AM18))/(Datos!U18+Datos!AM18))
     ),IF(Criterios!B14="SI",(Datos!K18-Datos!U18)/Datos!U18,(Datos!K18+Datos!AE18-(Datos!U18+Datos!AM18))/(Datos!U18+Datos!AM18))," - ")</f>
        <v>-3.3366369342583413E-2</v>
      </c>
      <c r="E18" s="855">
        <f>IF(ISNUMBER(
   IF(Criterios!B14="SI",(Datos!L18-Datos!V18)/Datos!V18,(Datos!L18+Datos!AF18-(Datos!V18+Datos!AN18))/(Datos!V18+Datos!AN18))
     ),IF(Criterios!B14="SI",(Datos!L18-Datos!V18)/Datos!V18,(Datos!L18+Datos!AF18-(Datos!V18+Datos!AN18))/(Datos!V18+Datos!AN18))," - ")</f>
        <v>0.35852911133810011</v>
      </c>
      <c r="F18" s="856">
        <f>IF(ISNUMBER((Datos!M18-Datos!W18)/Datos!W18),(Datos!M18-Datos!W18)/Datos!W18," - ")</f>
        <v>0.13207547169811321</v>
      </c>
      <c r="G18" s="857">
        <f>IF(ISNUMBER((Datos!N18-Datos!X18)/Datos!X18),(Datos!N18-Datos!X18)/Datos!X18," - ")</f>
        <v>-0.11006445215666832</v>
      </c>
      <c r="H18" s="857">
        <f>IF(ISNUMBER(((NºAsuntos!G18/NºAsuntos!E18)-Datos!BD18)/Datos!BD18),((NºAsuntos!G18/NºAsuntos!E18)-Datos!BD18)/Datos!BD18," - ")</f>
        <v>-0.10199087755196121</v>
      </c>
      <c r="I18" s="857">
        <f>IF(ISNUMBER(((NºAsuntos!I18/NºAsuntos!G18)-Datos!BE18)/Datos!BE18),((NºAsuntos!I18/NºAsuntos!G18)-Datos!BE18)/Datos!BE18," - ")</f>
        <v>0.40542297334942889</v>
      </c>
      <c r="J18" s="857">
        <f>IF(ISNUMBER((('Resol  Asuntos'!D18/NºAsuntos!G18)-Datos!BF18)/Datos!BF18),(('Resol  Asuntos'!D18/NºAsuntos!G18)-Datos!BF18)/Datos!BF18," - ")</f>
        <v>0.1711525812816776</v>
      </c>
      <c r="K18" s="857">
        <f>IF(ISNUMBER((((NºAsuntos!C18+NºAsuntos!E18)/NºAsuntos!G18)-Datos!BG18)/Datos!BG18),(((NºAsuntos!C18+NºAsuntos!E18)/NºAsuntos!G18)-Datos!BG18)/Datos!BG18," - ")</f>
        <v>8.6001892455387544E-2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0.39159439626417614</v>
      </c>
      <c r="C19" s="802">
        <f>IF(ISNUMBER(
   IF(J_V="SI",(Datos!J19-Datos!T19)/Datos!T19,(Datos!J19+Datos!Z19-(Datos!T19+Datos!AH19))/(Datos!T19+Datos!AH19))
     ),IF(J_V="SI",(Datos!J19-Datos!T19)/Datos!T19,(Datos!J19+Datos!Z19-(Datos!T19+Datos!AH19))/(Datos!T19+Datos!AH19))," - ")</f>
        <v>-1.1085450346420323E-2</v>
      </c>
      <c r="D19" s="802">
        <f>IF(ISNUMBER(
   IF(J_V="SI",(Datos!K19-Datos!U19)/Datos!U19,(Datos!K19+Datos!AA19-(Datos!U19+Datos!AI19))/(Datos!U19+Datos!AI19))
     ),IF(J_V="SI",(Datos!K19-Datos!U19)/Datos!U19,(Datos!K19+Datos!AA19-(Datos!U19+Datos!AI19))/(Datos!U19+Datos!AI19))," - ")</f>
        <v>5.3122465531224655E-2</v>
      </c>
      <c r="E19" s="802">
        <f>IF(ISNUMBER(
   IF(J_V="SI",(Datos!L19-Datos!V19)/Datos!V19,(Datos!L19+Datos!AB19-(Datos!V19+Datos!AJ19))/(Datos!V19+Datos!AJ19))
     ),IF(J_V="SI",(Datos!L19-Datos!V19)/Datos!V19,(Datos!L19+Datos!AB19-(Datos!V19+Datos!AJ19))/(Datos!V19+Datos!AJ19))," - ")</f>
        <v>0.15412272291466922</v>
      </c>
      <c r="F19" s="803">
        <f>IF(ISNUMBER((Datos!M19-Datos!W19)/Datos!W19),(Datos!M19-Datos!W19)/Datos!W19," - ")</f>
        <v>7.7577045696068006E-2</v>
      </c>
      <c r="G19" s="804">
        <f>IF(ISNUMBER((Datos!N19-Datos!X19)/Datos!X19),(Datos!N19-Datos!X19)/Datos!X19," - ")</f>
        <v>3.1921618204804048E-2</v>
      </c>
      <c r="H19" s="805">
        <f>IF(ISNUMBER((Tasas!B19-Datos!BD19)/Datos!BD19),(Tasas!B19-Datos!BD19)/Datos!BD19," - ")</f>
        <v>6.4927668320925391E-2</v>
      </c>
      <c r="I19" s="806">
        <f>IF(ISNUMBER((Tasas!C19-Datos!BE19)/Datos!BE19),(Tasas!C19-Datos!BE19)/Datos!BE19," - ")</f>
        <v>9.5905519717972412E-2</v>
      </c>
      <c r="J19" s="807">
        <f>IF(ISNUMBER((Tasas!D19-Datos!BF19)/Datos!BF19),(Tasas!D19-Datos!BF19)/Datos!BF19," - ")</f>
        <v>0.30467612723874626</v>
      </c>
      <c r="K19" s="807">
        <f>IF(ISNUMBER((Tasas!E19-Datos!BG19)/Datos!BG19),(Tasas!E19-Datos!BG19)/Datos!BG19," - ")</f>
        <v>3.7361490979635058E-2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28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CNv0WY6kpyTnzElJ3fQqD1RES6dlp4MLYRoD80fduwzXCObsPEkKy3qGLG83E/k0zaprtcaVINJnuZ5f9EieQQ==" saltValue="o5GLaBPXcXQJqZrrqlUJR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QUART DE POBLET</v>
      </c>
    </row>
    <row r="5" spans="1:7" ht="12.75" customHeight="1">
      <c r="A5" s="1210" t="str">
        <f>"Año:  " &amp;Criterios!B5 &amp; "    Trimestre   " &amp;Criterios!D5 &amp; " al " &amp;Criterios!D6</f>
        <v>Año:  2024    Trimestre   1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0.92105263157894735</v>
      </c>
      <c r="C12" s="443">
        <f>IF(ISNUMBER(NºAsuntos!I12/NºAsuntos!G12),NºAsuntos!I12/NºAsuntos!G12," - ")</f>
        <v>0.71634121274409046</v>
      </c>
      <c r="D12" s="444">
        <f>IF(ISNUMBER('Resol  Asuntos'!D12/NºAsuntos!G12),'Resol  Asuntos'!D12/NºAsuntos!G12," - ")</f>
        <v>0.34285714285714286</v>
      </c>
      <c r="E12" s="445">
        <f>IF(ISNUMBER((NºAsuntos!C12+NºAsuntos!E12)/NºAsuntos!G12),(NºAsuntos!C12+NºAsuntos!E12)/NºAsuntos!G12," - ")</f>
        <v>1.7412127440904419</v>
      </c>
      <c r="G12" s="463"/>
    </row>
    <row r="13" spans="1:7" ht="14.25" thickTop="1" thickBot="1">
      <c r="A13" s="848" t="str">
        <f>Datos!A13</f>
        <v>TOTAL</v>
      </c>
      <c r="B13" s="858">
        <f>IF(ISNUMBER(NºAsuntos!G13/NºAsuntos!E13),NºAsuntos!G13/NºAsuntos!E13," - ")</f>
        <v>0.92105263157894735</v>
      </c>
      <c r="C13" s="859">
        <f>IF(ISNUMBER(NºAsuntos!I13/NºAsuntos!G13),NºAsuntos!I13/NºAsuntos!G13," - ")</f>
        <v>0.71634121274409046</v>
      </c>
      <c r="D13" s="860">
        <f>IF(ISNUMBER('Resol  Asuntos'!D13/NºAsuntos!G13),'Resol  Asuntos'!D13/NºAsuntos!G13," - ")</f>
        <v>0.34285714285714286</v>
      </c>
      <c r="E13" s="861">
        <f>IF(ISNUMBER((NºAsuntos!C13+NºAsuntos!E13)/NºAsuntos!G13),(NºAsuntos!C13+NºAsuntos!E13)/NºAsuntos!G13," - ")</f>
        <v>1.7420349434737923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0.88838060384263495</v>
      </c>
      <c r="C16" s="443">
        <f>IF(ISNUMBER(NºAsuntos!I16/NºAsuntos!G16),NºAsuntos!I16/NºAsuntos!G16," - ")</f>
        <v>0.45588740130449706</v>
      </c>
      <c r="D16" s="444">
        <f>IF(ISNUMBER('Resol  Asuntos'!D16/NºAsuntos!G16),'Resol  Asuntos'!D16/NºAsuntos!G16," - ")</f>
        <v>0.12358393408856849</v>
      </c>
      <c r="E16" s="445">
        <f>IF(ISNUMBER((NºAsuntos!C16+NºAsuntos!E16)/NºAsuntos!G16),(NºAsuntos!C16+NºAsuntos!E16)/NºAsuntos!G16," - ")</f>
        <v>1.4558874013044971</v>
      </c>
      <c r="G16" s="463"/>
    </row>
    <row r="17" spans="1:7" ht="13.5" thickBot="1">
      <c r="A17" s="402" t="str">
        <f>Datos!A17</f>
        <v>Jdos. Violencia contra la mujer</v>
      </c>
      <c r="B17" s="442">
        <f>IF(ISNUMBER(NºAsuntos!G17/NºAsuntos!E17),NºAsuntos!G17/NºAsuntos!E17," - ")</f>
        <v>4.333333333333333</v>
      </c>
      <c r="C17" s="443">
        <f>IF(ISNUMBER(NºAsuntos!I17/NºAsuntos!G17),NºAsuntos!I17/NºAsuntos!G17," - ")</f>
        <v>0.15384615384615385</v>
      </c>
      <c r="D17" s="444">
        <f>IF(ISNUMBER('Resol  Asuntos'!D17/NºAsuntos!G17),'Resol  Asuntos'!D17/NºAsuntos!G17," - ")</f>
        <v>0</v>
      </c>
      <c r="E17" s="445">
        <f>IF(ISNUMBER((NºAsuntos!C17+NºAsuntos!E17)/NºAsuntos!G17),(NºAsuntos!C17+NºAsuntos!E17)/NºAsuntos!G17," - ")</f>
        <v>1.5384615384615385</v>
      </c>
      <c r="G17" s="463"/>
    </row>
    <row r="18" spans="1:7" ht="14.25" thickTop="1" thickBot="1">
      <c r="A18" s="848" t="str">
        <f>Datos!A18</f>
        <v>TOTAL</v>
      </c>
      <c r="B18" s="858">
        <f>IF(ISNUMBER(NºAsuntos!G18/NºAsuntos!E18),NºAsuntos!G18/NºAsuntos!E18," - ")</f>
        <v>0.89152955514929921</v>
      </c>
      <c r="C18" s="859">
        <f>IF(ISNUMBER(NºAsuntos!I18/NºAsuntos!G18),NºAsuntos!I18/NºAsuntos!G18," - ")</f>
        <v>0.45454545454545453</v>
      </c>
      <c r="D18" s="862">
        <f>IF(ISNUMBER('Resol  Asuntos'!D18/NºAsuntos!G18),'Resol  Asuntos'!D18/NºAsuntos!G18," - ")</f>
        <v>0.12303485987696514</v>
      </c>
      <c r="E18" s="861">
        <f>IF(ISNUMBER((NºAsuntos!C18+NºAsuntos!E18)/NºAsuntos!G18),(NºAsuntos!C18+NºAsuntos!E18)/NºAsuntos!G18," - ")</f>
        <v>1.4562542720437457</v>
      </c>
      <c r="G18" s="463"/>
    </row>
    <row r="19" spans="1:7" ht="15.75" customHeight="1" thickTop="1" thickBot="1">
      <c r="A19" s="793" t="str">
        <f>Datos!A19</f>
        <v>TOTAL JURISDICCIONES</v>
      </c>
      <c r="B19" s="808">
        <f>IF(ISNUMBER(NºAsuntos!G19/NºAsuntos!E19),NºAsuntos!G19/NºAsuntos!E19," - ")</f>
        <v>0.90973843998131709</v>
      </c>
      <c r="C19" s="809">
        <f>IF(ISNUMBER(NºAsuntos!I19/NºAsuntos!G19),NºAsuntos!I19/NºAsuntos!G19," - ")</f>
        <v>0.61802079322294956</v>
      </c>
      <c r="D19" s="810">
        <f>IF(ISNUMBER('Resol  Asuntos'!D19/NºAsuntos!G19),'Resol  Asuntos'!D19/NºAsuntos!G19," - ")</f>
        <v>0.26030034655371581</v>
      </c>
      <c r="E19" s="811">
        <f>IF(ISNUMBER((NºAsuntos!C19+NºAsuntos!E19)/NºAsuntos!G19),(NºAsuntos!C19+NºAsuntos!E19)/NºAsuntos!G19," - ")</f>
        <v>1.6347067128738288</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28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K8nc3cX0wfTy/TUTE0zTMuZX2D1rWGJjgXTZ1kPfs8+zv9fOLtilXuwsJ+UOrM1OrcoObzCojRAXTSZSDf4uhA==" saltValue="QH+1yDBF/qhPAKi7xg8yz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QUART DE POBLET</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1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19</v>
      </c>
      <c r="Y10" s="334">
        <f t="shared" ref="Y10:Y12" si="0">SUM(W10:X10)</f>
        <v>19</v>
      </c>
      <c r="Z10" s="335" t="str">
        <f>IF(ISNUMBER(Datos!CC10),Datos!CC10," - ")</f>
        <v xml:space="preserve"> - </v>
      </c>
      <c r="AA10" s="332">
        <f>IF(ISNUMBER(Datos!L10),Datos!L10,"-")</f>
        <v>0</v>
      </c>
      <c r="AB10" s="334">
        <f>IF(ISNUMBER(Datos!R10),Datos!R10," - ")</f>
        <v>45</v>
      </c>
      <c r="AC10" s="334">
        <f t="shared" ref="AC10:AC12" si="1">IF(ISNUMBER(AA10+AB10),AA10+AB10," - ")</f>
        <v>45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800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317</v>
      </c>
      <c r="Y12" s="334">
        <f t="shared" si="0"/>
        <v>317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3467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1668</v>
      </c>
      <c r="AJ12" s="229" t="str">
        <f>IF(ISNUMBER(Datos!BW12),Datos!BW12," - ")</f>
        <v xml:space="preserve"> - </v>
      </c>
      <c r="AK12" s="228" t="str">
        <f>IF(ISNUMBER(Datos!BX12),Datos!BX12," - ")</f>
        <v xml:space="preserve"> - </v>
      </c>
      <c r="AL12" s="243">
        <f>IF(ISNUMBER(NºAsuntos!G12/NºAsuntos!E12),NºAsuntos!G12/NºAsuntos!E12," - ")</f>
        <v>0.92105263157894735</v>
      </c>
      <c r="AM12" s="260">
        <f>IF(ISNUMBER(((NºAsuntos!I12/NºAsuntos!G12)*11)/factor_trimestre),((NºAsuntos!I12/NºAsuntos!G12)*11)/factor_trimestre," - ")</f>
        <v>7.8797533401849948</v>
      </c>
      <c r="AN12" s="244">
        <f>IF(ISNUMBER('Resol  Asuntos'!D12/NºAsuntos!G12),'Resol  Asuntos'!D12/NºAsuntos!G12," - ")</f>
        <v>0.34285714285714286</v>
      </c>
      <c r="AO12" s="245">
        <f>IF(ISNUMBER((NºAsuntos!C12+NºAsuntos!E12)/NºAsuntos!G12),(NºAsuntos!C12+NºAsuntos!E12)/NºAsuntos!G12," - ")</f>
        <v>1.7412127440904419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0</v>
      </c>
      <c r="G13" s="866">
        <f t="shared" si="3"/>
        <v>4</v>
      </c>
      <c r="H13" s="865">
        <f t="shared" si="3"/>
        <v>0</v>
      </c>
      <c r="I13" s="867">
        <f t="shared" si="3"/>
        <v>0</v>
      </c>
      <c r="J13" s="867">
        <f t="shared" si="3"/>
        <v>0</v>
      </c>
      <c r="K13" s="867">
        <f t="shared" si="3"/>
        <v>0</v>
      </c>
      <c r="L13" s="867">
        <f t="shared" si="3"/>
        <v>800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336</v>
      </c>
      <c r="Y13" s="868">
        <f t="shared" si="4"/>
        <v>336</v>
      </c>
      <c r="Z13" s="868">
        <f t="shared" si="4"/>
        <v>0</v>
      </c>
      <c r="AA13" s="868">
        <f t="shared" si="4"/>
        <v>0</v>
      </c>
      <c r="AB13" s="868">
        <f t="shared" si="4"/>
        <v>3512</v>
      </c>
      <c r="AC13" s="868">
        <f t="shared" si="4"/>
        <v>45</v>
      </c>
      <c r="AD13" s="868">
        <f t="shared" si="4"/>
        <v>0</v>
      </c>
      <c r="AE13" s="872">
        <f t="shared" si="4"/>
        <v>0</v>
      </c>
      <c r="AF13" s="865">
        <f t="shared" si="4"/>
        <v>0</v>
      </c>
      <c r="AG13" s="873">
        <f t="shared" si="4"/>
        <v>0</v>
      </c>
      <c r="AH13" s="870">
        <f t="shared" si="4"/>
        <v>0</v>
      </c>
      <c r="AI13" s="865">
        <f t="shared" si="4"/>
        <v>1668</v>
      </c>
      <c r="AJ13" s="867">
        <f t="shared" si="4"/>
        <v>0</v>
      </c>
      <c r="AK13" s="870">
        <f>SUBTOTAL(9,AK9:AK12)</f>
        <v>0</v>
      </c>
      <c r="AL13" s="874">
        <f>IF(ISNUMBER(NºAsuntos!G13/NºAsuntos!E13),NºAsuntos!G13/NºAsuntos!E13," - ")</f>
        <v>0.92105263157894735</v>
      </c>
      <c r="AM13" s="874">
        <f>IF(ISNUMBER(((NºAsuntos!I13/NºAsuntos!G13)*11)/factor_trimestre),((NºAsuntos!I13/NºAsuntos!G13)*11)/factor_trimestre," - ")</f>
        <v>7.8797533401849948</v>
      </c>
      <c r="AN13" s="875">
        <f>IF(ISNUMBER('Resol  Asuntos'!D13/NºAsuntos!G13),'Resol  Asuntos'!D13/NºAsuntos!G13," - ")</f>
        <v>0.34285714285714286</v>
      </c>
      <c r="AO13" s="876">
        <f>IF(ISNUMBER((NºAsuntos!C13+NºAsuntos!E13)/NºAsuntos!G13),(NºAsuntos!C13+NºAsuntos!E13)/NºAsuntos!G13," - ")</f>
        <v>1.7420349434737923</v>
      </c>
      <c r="AP13" s="877" t="str">
        <f t="shared" si="2"/>
        <v xml:space="preserve"> - </v>
      </c>
      <c r="AQ13" s="877" t="str">
        <f>IF(ISNUMBER((H13-W13+K13)/(F13)),(H13-W13+K13)/(F13)," - ")</f>
        <v xml:space="preserve"> - </v>
      </c>
      <c r="AR13" s="878">
        <f>IF(ISNUMBER((Datos!P13-Datos!Q13)/(Datos!R13-Datos!P13+Datos!Q13)),(Datos!P13-Datos!Q13)/(Datos!R13-Datos!P13+Datos!Q13)," - ")</f>
        <v>0.15223097112860892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962</v>
      </c>
      <c r="G16" s="333">
        <f>IF(ISNUMBER(IF(D_I="SI",Datos!I16,Datos!I16+Datos!AC16)),IF(D_I="SI",Datos!I16,Datos!I16+Datos!AC16)," - ")</f>
        <v>962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159</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2913</v>
      </c>
      <c r="X16" s="226">
        <f>IF(ISNUMBER(Datos!Q16),Datos!Q16," - ")</f>
        <v>73</v>
      </c>
      <c r="Y16" s="334">
        <f t="shared" ref="Y16:Y17" si="7">SUM(W16:X16)</f>
        <v>2986</v>
      </c>
      <c r="Z16" s="335" t="str">
        <f>IF(ISNUMBER(Datos!CC16),Datos!CC16," - ")</f>
        <v xml:space="preserve"> - </v>
      </c>
      <c r="AA16" s="332">
        <f>IF(ISNUMBER(IF(D_I="SI",Datos!L16,Datos!L16+Datos!AF16)),IF(D_I="SI",Datos!L16,Datos!L16+Datos!AF16)," - ")</f>
        <v>1328</v>
      </c>
      <c r="AB16" s="334">
        <f>IF(ISNUMBER(Datos!R16),Datos!R16," - ")</f>
        <v>179</v>
      </c>
      <c r="AC16" s="334">
        <f t="shared" si="6"/>
        <v>1507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360</v>
      </c>
      <c r="AJ16" s="231" t="str">
        <f>IF(ISNUMBER(Datos!BW16),Datos!BW16," - ")</f>
        <v xml:space="preserve"> - </v>
      </c>
      <c r="AK16" s="232" t="str">
        <f>IF(ISNUMBER(Datos!BX16),Datos!BX16," - ")</f>
        <v xml:space="preserve"> - </v>
      </c>
      <c r="AL16" s="243">
        <f>IF(ISNUMBER(NºAsuntos!G16/NºAsuntos!E16),NºAsuntos!G16/NºAsuntos!E16," - ")</f>
        <v>0.88838060384263495</v>
      </c>
      <c r="AM16" s="260">
        <f>IF(ISNUMBER(((NºAsuntos!I16/NºAsuntos!G16)*11)/factor_trimestre),((NºAsuntos!I16/NºAsuntos!G16)*11)/factor_trimestre," - ")</f>
        <v>5.0147614143494676</v>
      </c>
      <c r="AN16" s="244">
        <f>IF(ISNUMBER('Resol  Asuntos'!D16/NºAsuntos!G16),'Resol  Asuntos'!D16/NºAsuntos!G16," - ")</f>
        <v>0.12358393408856849</v>
      </c>
      <c r="AO16" s="245">
        <f>IF(ISNUMBER((NºAsuntos!C16+NºAsuntos!E16)/NºAsuntos!G16),(NºAsuntos!C16+NºAsuntos!E16)/NºAsuntos!G16," - ")</f>
        <v>1.4558874013044971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13</v>
      </c>
      <c r="X17" s="226">
        <f>IF(ISNUMBER(Datos!Q17),Datos!Q17," - ")</f>
        <v>0</v>
      </c>
      <c r="Y17" s="334">
        <f t="shared" si="7"/>
        <v>13</v>
      </c>
      <c r="Z17" s="335" t="str">
        <f>IF(ISNUMBER(Datos!CC17),Datos!CC17," - ")</f>
        <v xml:space="preserve"> - </v>
      </c>
      <c r="AA17" s="332">
        <f>IF(ISNUMBER(Datos!L17),Datos!L17,"-")</f>
        <v>2</v>
      </c>
      <c r="AB17" s="334">
        <f>IF(ISNUMBER(Datos!R17),Datos!R17," - ")</f>
        <v>0</v>
      </c>
      <c r="AC17" s="334">
        <f t="shared" si="6"/>
        <v>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4.333333333333333</v>
      </c>
      <c r="AM17" s="260">
        <f>IF(ISNUMBER(((NºAsuntos!I17/NºAsuntos!G17)*11)/factor_trimestre),((NºAsuntos!I17/NºAsuntos!G17)*11)/factor_trimestre," - ")</f>
        <v>1.6923076923076925</v>
      </c>
      <c r="AN17" s="244">
        <f>IF(ISNUMBER('Resol  Asuntos'!D17/NºAsuntos!G17),'Resol  Asuntos'!D17/NºAsuntos!G17," - ")</f>
        <v>0</v>
      </c>
      <c r="AO17" s="245">
        <f>IF(ISNUMBER((NºAsuntos!C17+NºAsuntos!E17)/NºAsuntos!G17),(NºAsuntos!C17+NºAsuntos!E17)/NºAsuntos!G17," - ")</f>
        <v>1.5384615384615385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962</v>
      </c>
      <c r="G18" s="866">
        <f>SUBTOTAL(9,G15:G17)</f>
        <v>979</v>
      </c>
      <c r="H18" s="865">
        <f t="shared" ref="H18:O18" si="10">SUBTOTAL(9,H14:H17)</f>
        <v>0</v>
      </c>
      <c r="I18" s="867">
        <f t="shared" si="10"/>
        <v>0</v>
      </c>
      <c r="J18" s="867">
        <f t="shared" si="10"/>
        <v>0</v>
      </c>
      <c r="K18" s="867">
        <f t="shared" si="10"/>
        <v>0</v>
      </c>
      <c r="L18" s="867">
        <f t="shared" si="10"/>
        <v>159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2926</v>
      </c>
      <c r="X18" s="867">
        <f t="shared" si="11"/>
        <v>73</v>
      </c>
      <c r="Y18" s="868">
        <f t="shared" si="11"/>
        <v>2999</v>
      </c>
      <c r="Z18" s="868">
        <f t="shared" si="11"/>
        <v>0</v>
      </c>
      <c r="AA18" s="868">
        <f t="shared" si="11"/>
        <v>1330</v>
      </c>
      <c r="AB18" s="868">
        <f t="shared" si="11"/>
        <v>179</v>
      </c>
      <c r="AC18" s="868">
        <f t="shared" si="11"/>
        <v>1509</v>
      </c>
      <c r="AD18" s="868">
        <f t="shared" si="11"/>
        <v>0</v>
      </c>
      <c r="AE18" s="872">
        <f t="shared" si="11"/>
        <v>0</v>
      </c>
      <c r="AF18" s="865">
        <f t="shared" si="11"/>
        <v>0</v>
      </c>
      <c r="AG18" s="873">
        <f t="shared" si="11"/>
        <v>0</v>
      </c>
      <c r="AH18" s="870">
        <f t="shared" si="11"/>
        <v>0</v>
      </c>
      <c r="AI18" s="865">
        <f t="shared" si="11"/>
        <v>360</v>
      </c>
      <c r="AJ18" s="867">
        <f t="shared" si="11"/>
        <v>0</v>
      </c>
      <c r="AK18" s="870">
        <f t="shared" si="11"/>
        <v>0</v>
      </c>
      <c r="AL18" s="874">
        <f>IF(ISNUMBER(NºAsuntos!G18/NºAsuntos!E18),NºAsuntos!G18/NºAsuntos!E18," - ")</f>
        <v>0.89152955514929921</v>
      </c>
      <c r="AM18" s="874">
        <f>IF(ISNUMBER(((NºAsuntos!I18/NºAsuntos!G18)*11)/factor_trimestre),((NºAsuntos!I18/NºAsuntos!G18)*11)/factor_trimestre," - ")</f>
        <v>5</v>
      </c>
      <c r="AN18" s="875">
        <f>IF(ISNUMBER('Resol  Asuntos'!D18/NºAsuntos!G18),'Resol  Asuntos'!D18/NºAsuntos!G18," - ")</f>
        <v>0.12303485987696514</v>
      </c>
      <c r="AO18" s="876">
        <f>IF(ISNUMBER((NºAsuntos!C18+NºAsuntos!E18)/NºAsuntos!G18),(NºAsuntos!C18+NºAsuntos!E18)/NºAsuntos!G18," - ")</f>
        <v>1.4562542720437457</v>
      </c>
      <c r="AP18" s="877" t="str">
        <f t="shared" si="2"/>
        <v xml:space="preserve"> - </v>
      </c>
      <c r="AQ18" s="877">
        <f>IF(ISNUMBER((H18-W18+K18)/(F18)),(H18-W18+K18)/(F18)," - ")</f>
        <v>-3.0415800415800414</v>
      </c>
      <c r="AR18" s="878">
        <f>IF(ISNUMBER((Datos!P18-Datos!Q18)/(Datos!R18-Datos!P18+Datos!Q18)),(Datos!P18-Datos!Q18)/(Datos!R18-Datos!P18+Datos!Q18)," - ")</f>
        <v>0.92473118279569888</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962</v>
      </c>
      <c r="G19" s="821">
        <f t="shared" si="13"/>
        <v>983</v>
      </c>
      <c r="H19" s="820">
        <f t="shared" si="13"/>
        <v>0</v>
      </c>
      <c r="I19" s="822">
        <f t="shared" si="13"/>
        <v>0</v>
      </c>
      <c r="J19" s="822">
        <f t="shared" si="13"/>
        <v>0</v>
      </c>
      <c r="K19" s="881">
        <f t="shared" si="13"/>
        <v>0</v>
      </c>
      <c r="L19" s="822">
        <f t="shared" si="13"/>
        <v>959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2926</v>
      </c>
      <c r="X19" s="821">
        <f t="shared" si="14"/>
        <v>409</v>
      </c>
      <c r="Y19" s="828">
        <f t="shared" si="14"/>
        <v>3335</v>
      </c>
      <c r="Z19" s="828">
        <f t="shared" si="14"/>
        <v>0</v>
      </c>
      <c r="AA19" s="828">
        <f t="shared" si="14"/>
        <v>1330</v>
      </c>
      <c r="AB19" s="828">
        <f t="shared" si="14"/>
        <v>3691</v>
      </c>
      <c r="AC19" s="828">
        <f t="shared" si="14"/>
        <v>1554</v>
      </c>
      <c r="AD19" s="828">
        <f t="shared" si="14"/>
        <v>0</v>
      </c>
      <c r="AE19" s="830">
        <f t="shared" si="14"/>
        <v>0</v>
      </c>
      <c r="AF19" s="831">
        <f t="shared" si="14"/>
        <v>0</v>
      </c>
      <c r="AG19" s="832">
        <f t="shared" si="14"/>
        <v>0</v>
      </c>
      <c r="AH19" s="830">
        <f t="shared" si="14"/>
        <v>0</v>
      </c>
      <c r="AI19" s="820">
        <f t="shared" si="14"/>
        <v>2028</v>
      </c>
      <c r="AJ19" s="820">
        <f t="shared" si="14"/>
        <v>0</v>
      </c>
      <c r="AK19" s="830">
        <f t="shared" si="14"/>
        <v>0</v>
      </c>
      <c r="AL19" s="884">
        <f>IF(ISNUMBER(NºAsuntos!G19/NºAsuntos!E19),NºAsuntos!G19/NºAsuntos!E19," - ")</f>
        <v>0.90973843998131709</v>
      </c>
      <c r="AM19" s="885">
        <f>IF(ISNUMBER(((NºAsuntos!I19/NºAsuntos!G19)*11)/factor_trimestre),((NºAsuntos!I19/NºAsuntos!G19)*11)/factor_trimestre," - ")</f>
        <v>6.7982287254524447</v>
      </c>
      <c r="AN19" s="885">
        <f>IF(ISNUMBER('Resol  Asuntos'!D19/NºAsuntos!G19),'Resol  Asuntos'!D19/NºAsuntos!G19," - ")</f>
        <v>0.26030034655371581</v>
      </c>
      <c r="AO19" s="886">
        <f>IF(ISNUMBER((NºAsuntos!C19+NºAsuntos!E19)/NºAsuntos!G19),(NºAsuntos!C19+NºAsuntos!E19)/NºAsuntos!G19," - ")</f>
        <v>1.6347067128738288</v>
      </c>
      <c r="AP19" s="887" t="str">
        <f t="shared" si="2"/>
        <v xml:space="preserve"> - </v>
      </c>
      <c r="AQ19" s="888">
        <f>IF(OR(ISNUMBER(FIND("01",Criterios!A8,1)),ISNUMBER(FIND("02",Criterios!A8,1)),ISNUMBER(FIND("03",Criterios!A8,1)),ISNUMBER(FIND("04",Criterios!A8,1))),(I19-W19+K19)/(F19-K19),(H19-W19+K19)/(F19-K19))</f>
        <v>-3.0415800415800414</v>
      </c>
      <c r="AR19" s="889">
        <f>IF(ISNUMBER((Datos!P19-Datos!Q19)/(Datos!R19-Datos!P19+Datos!Q19)),(Datos!P19-Datos!Q19)/(Datos!R19-Datos!P19+Datos!Q19)," - ")</f>
        <v>0.17510347023241005</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393.2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555.41095896041998</v>
      </c>
      <c r="G21" s="253">
        <f>IF(ISNUMBER(STDEV(G8:G18)),STDEV(G8:G18),"-")</f>
        <v>527.06138162456944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1596.7179776028077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785.08496355490092</v>
      </c>
      <c r="AJ21" s="252">
        <f t="shared" si="18"/>
        <v>0</v>
      </c>
      <c r="AK21" s="254">
        <f t="shared" si="18"/>
        <v>0</v>
      </c>
      <c r="AL21" s="249">
        <f t="shared" si="18"/>
        <v>1.5330512025671059</v>
      </c>
      <c r="AM21" s="250">
        <f t="shared" si="18"/>
        <v>2.5646737453184962</v>
      </c>
      <c r="AN21" s="250">
        <f t="shared" si="18"/>
        <v>0.15137999540314706</v>
      </c>
      <c r="AO21" s="251">
        <f t="shared" si="18"/>
        <v>0.14530836281456405</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28 feb. 2025</v>
      </c>
      <c r="D30" s="120"/>
    </row>
    <row r="32" spans="1:65">
      <c r="C32" s="1"/>
      <c r="D32" s="1"/>
    </row>
  </sheetData>
  <sheetProtection algorithmName="SHA-512" hashValue="3tuWE4cfQH2ocELyPH2GNUbOuFs+w56kncKlS1cXkJaJJVEvCR6z32FIvagIT3K+M7h2/rldhfCNMVAU9XAYCA==" saltValue="T4mLq4NJKbSuSvZZWXcVq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QUART DE POBLET</v>
      </c>
      <c r="E4" s="263"/>
    </row>
    <row r="5" spans="2:20" ht="12.75" customHeight="1">
      <c r="B5" s="272"/>
      <c r="C5" s="1266" t="str">
        <f>"Año:  " &amp;Criterios!B5 &amp; "          Trimestre   " &amp;Criterios!D5 &amp; " al " &amp;Criterios!D6</f>
        <v>Año:  2024          Trimestre   1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-0.6</v>
      </c>
      <c r="E10" s="348">
        <f>IF(ISNUMBER((Datos!J10-Datos!T10)/Datos!T10),(Datos!J10-Datos!T10)/Datos!T10," - ")</f>
        <v>-1</v>
      </c>
      <c r="F10" s="348">
        <f>IF(ISNUMBER((Datos!K10-Datos!U10)/Datos!U10),(Datos!K10-Datos!U10)/Datos!U10," - ")</f>
        <v>-1</v>
      </c>
      <c r="G10" s="349">
        <f>IF(ISNUMBER((Datos!L10-Datos!V10)/Datos!V10),(Datos!L10-Datos!V10)/Datos!V10," - ")</f>
        <v>-1</v>
      </c>
      <c r="H10" s="230">
        <f>IF(ISNUMBER((Datos!M10-Datos!W10)/Datos!W10),(Datos!M10-Datos!W10)/Datos!W10," - ")</f>
        <v>-1</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7.4050225370251133E-2</v>
      </c>
      <c r="I12" s="350">
        <f>IF(ISNUMBER((Tasas!C12-Datos!BE12)/Datos!BE12),(Tasas!C12-Datos!BE12)/Datos!BE12," - ")</f>
        <v>-2.061847363931189E-2</v>
      </c>
      <c r="J12" s="349">
        <f>IF(ISNUMBER((Tasas!D12-Datos!BF12)/Datos!BF12),(Tasas!D12-Datos!BF12)/Datos!BF12," - ")</f>
        <v>0.30327562585627105</v>
      </c>
      <c r="K12" s="351">
        <f>IF(ISNUMBER((Tasas!E12-Datos!BG12)/Datos!BG12),(Tasas!E12-Datos!BG12)/Datos!BG12," - ")</f>
        <v>1.013655621614756E-3</v>
      </c>
      <c r="M12" t="e">
        <f>IF(Monitorios="SI",Datos!CE12,0)</f>
        <v>#REF!</v>
      </c>
      <c r="N12" t="e">
        <f>IF(Monitorios="SI",Datos!CF12,0)</f>
        <v>#REF!</v>
      </c>
      <c r="O12" t="e">
        <f>IF(Monitorios="SI",Datos!CG12,0)</f>
        <v>#REF!</v>
      </c>
      <c r="P12" t="e">
        <f>IF(Monitorios="SI",Datos!CH12,0)</f>
        <v>#REF!</v>
      </c>
      <c r="Q12">
        <f>IF(J_V="SI",0,Datos!AG12)</f>
        <v>83</v>
      </c>
      <c r="R12">
        <f>IF(J_V="SI",0,Datos!AH12)</f>
        <v>256</v>
      </c>
      <c r="S12">
        <f>IF(J_V="SI",0,Datos!AI12)</f>
        <v>286</v>
      </c>
      <c r="T12">
        <f>IF(J_V="SI",0,Datos!AJ12)</f>
        <v>53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6.6496163682864456E-2</v>
      </c>
      <c r="I13" s="357">
        <f>IF(ISNUMBER((Tasas!C13-Datos!BE13)/Datos!BE13),(Tasas!C13-Datos!BE13)/Datos!BE13," - ")</f>
        <v>-1.9377563136730606E-2</v>
      </c>
      <c r="J13" s="355">
        <f>IF(ISNUMBER((Tasas!D13-Datos!BF13)/Datos!BF13),(Tasas!D13-Datos!BF13)/Datos!BF13," - ")</f>
        <v>0.29415247964470764</v>
      </c>
      <c r="K13" s="358">
        <f>IF(ISNUMBER((Tasas!E13-Datos!BG13)/Datos!BG13),(Tasas!E13-Datos!BG13)/Datos!BG13," - ")</f>
        <v>2.0311538260226582E-3</v>
      </c>
      <c r="M13" t="e">
        <f>IF(Monitorios="SI",Datos!CE13,0)</f>
        <v>#REF!</v>
      </c>
      <c r="N13" t="e">
        <f>IF(Monitorios="SI",Datos!CF13,0)</f>
        <v>#REF!</v>
      </c>
      <c r="O13" t="e">
        <f>IF(Monitorios="SI",Datos!CG13,0)</f>
        <v>#REF!</v>
      </c>
      <c r="P13" t="e">
        <f>IF(Monitorios="SI",Datos!CH13,0)</f>
        <v>#REF!</v>
      </c>
      <c r="Q13">
        <f>IF(J_V="SI",0,Datos!AG13)</f>
        <v>83</v>
      </c>
      <c r="R13">
        <f>IF(J_V="SI",0,Datos!AH13)</f>
        <v>256</v>
      </c>
      <c r="S13">
        <f>IF(J_V="SI",0,Datos!AI13)</f>
        <v>286</v>
      </c>
      <c r="T13">
        <f>IF(J_V="SI",0,Datos!AJ13)</f>
        <v>53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2.5586353944562899E-2</v>
      </c>
      <c r="E16" s="348">
        <f>IF(ISNUMBER(
   IF(D_I="SI",(Datos!J16-Datos!T16)/Datos!T16,(Datos!J16+Datos!AD16-(Datos!T16+Datos!AL16))/(Datos!T16+Datos!AL16))
     ),IF(D_I="SI",(Datos!J16-Datos!T16)/Datos!T16,(Datos!J16+Datos!AD16-(Datos!T16+Datos!AL16))/(Datos!T16+Datos!AL16))," - ")</f>
        <v>8.7201591511936336E-2</v>
      </c>
      <c r="F16" s="348">
        <f>IF(ISNUMBER(
   IF(D_I="SI",(Datos!K16-Datos!U16)/Datos!U16,(Datos!K16+Datos!AE16-(Datos!U16+Datos!AM16))/(Datos!U16+Datos!AM16))
     ),IF(D_I="SI",(Datos!K16-Datos!U16)/Datos!U16,(Datos!K16+Datos!AE16-(Datos!U16+Datos!AM16))/(Datos!U16+Datos!AM16))," - ")</f>
        <v>-8.8465464443688337E-3</v>
      </c>
      <c r="G16" s="349">
        <f>IF(ISNUMBER(
   IF(D_I="SI",(Datos!L16-Datos!V16)/Datos!V16,(Datos!L16+Datos!AF16-(Datos!V16+Datos!AN16))/(Datos!V16+Datos!AN16))
     ),IF(D_I="SI",(Datos!L16-Datos!V16)/Datos!V16,(Datos!L16+Datos!AF16-(Datos!V16+Datos!AN16))/(Datos!V16+Datos!AN16))," - ")</f>
        <v>0.38045738045738048</v>
      </c>
      <c r="H16" s="230">
        <f>IF(ISNUMBER((Datos!M16-Datos!W16)/Datos!W16),(Datos!M16-Datos!W16)/Datos!W16," - ")</f>
        <v>0.14285714285714285</v>
      </c>
      <c r="I16" s="350">
        <f>IF(ISNUMBER((Tasas!C16-Datos!BE16)/Datos!BE16),(Tasas!C16-Datos!BE16)/Datos!BE16," - ")</f>
        <v>0.3927786615737181</v>
      </c>
      <c r="J16" s="349">
        <f>IF(ISNUMBER((Tasas!D16-Datos!BF16)/Datos!BF16),(Tasas!D16-Datos!BF16)/Datos!BF16," - ")</f>
        <v>0.15305772154381847</v>
      </c>
      <c r="K16" s="351">
        <f>IF(ISNUMBER((Tasas!E16-Datos!BG16)/Datos!BG16),(Tasas!E16-Datos!BG16)/Datos!BG16," - ")</f>
        <v>8.2158086098613234E-2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-0.76388888888888884</v>
      </c>
      <c r="E17" s="348">
        <f>IF(ISNUMBER(
   IF(D_I="SI",(Datos!J17-Datos!T17)/Datos!T17,(Datos!J17+Datos!AD17-(Datos!T17+Datos!AL17))/(Datos!T17+Datos!AL17))
     ),IF(D_I="SI",(Datos!J17-Datos!T17)/Datos!T17,(Datos!J17+Datos!AD17-(Datos!T17+Datos!AL17))/(Datos!T17+Datos!AL17))," - ")</f>
        <v>-0.90909090909090906</v>
      </c>
      <c r="F17" s="348">
        <f>IF(ISNUMBER(
   IF(D_I="SI",(Datos!K17-Datos!U17)/Datos!U17,(Datos!K17+Datos!AE17-(Datos!U17+Datos!AM17))/(Datos!U17+Datos!AM17))
     ),IF(D_I="SI",(Datos!K17-Datos!U17)/Datos!U17,(Datos!K17+Datos!AE17-(Datos!U17+Datos!AM17))/(Datos!U17+Datos!AM17))," - ")</f>
        <v>-0.85227272727272729</v>
      </c>
      <c r="G17" s="349">
        <f>IF(ISNUMBER(
   IF(D_I="SI",(Datos!L17-Datos!V17)/Datos!V17,(Datos!L17+Datos!AF17-(Datos!V17+Datos!AN17))/(Datos!V17+Datos!AN17))
     ),IF(D_I="SI",(Datos!L17-Datos!V17)/Datos!V17,(Datos!L17+Datos!AF17-(Datos!V17+Datos!AN17))/(Datos!V17+Datos!AN17))," - ")</f>
        <v>-0.88235294117647056</v>
      </c>
      <c r="H17" s="230">
        <f>IF(ISNUMBER((Datos!M17-Datos!W17)/Datos!W17),(Datos!M17-Datos!W17)/Datos!W17," - ")</f>
        <v>-1</v>
      </c>
      <c r="I17" s="350">
        <f>IF(ISNUMBER((Tasas!C17-Datos!BE17)/Datos!BE17),(Tasas!C17-Datos!BE17)/Datos!BE17," - ")</f>
        <v>-0.20361990950226239</v>
      </c>
      <c r="J17" s="349">
        <f>IF(ISNUMBER((Tasas!D17-Datos!BF17)/Datos!BF17),(Tasas!D17-Datos!BF17)/Datos!BF17," - ")</f>
        <v>-1</v>
      </c>
      <c r="K17" s="351">
        <f>IF(ISNUMBER((Tasas!E17-Datos!BG17)/Datos!BG17),(Tasas!E17-Datos!BG17)/Datos!BG17," - ")</f>
        <v>0.28937728937728951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-3.0693069306930693E-2</v>
      </c>
      <c r="E18" s="354">
        <f>IF(ISNUMBER(
   IF(D_I="SI",(Datos!J18-Datos!T18)/Datos!T18,(Datos!J18+Datos!AD18-(Datos!T18+Datos!AL18))/(Datos!T18+Datos!AL18))
     ),IF(D_I="SI",(Datos!J18-Datos!T18)/Datos!T18,(Datos!J18+Datos!AD18-(Datos!T18+Datos!AL18))/(Datos!T18+Datos!AL18))," - ")</f>
        <v>7.6418497868153495E-2</v>
      </c>
      <c r="F18" s="354">
        <f>IF(ISNUMBER(
   IF(D_I="SI",(Datos!K18-Datos!U18)/Datos!U18,(Datos!K18+Datos!AE18-(Datos!U18+Datos!AM18))/(Datos!U18+Datos!AM18))
     ),IF(D_I="SI",(Datos!K18-Datos!U18)/Datos!U18,(Datos!K18+Datos!AE18-(Datos!U18+Datos!AM18))/(Datos!U18+Datos!AM18))," - ")</f>
        <v>-3.3366369342583413E-2</v>
      </c>
      <c r="G18" s="355">
        <f>IF(ISNUMBER(
   IF(D_I="SI",(Datos!L18-Datos!V18)/Datos!V18,(Datos!L18+Datos!AF18-(Datos!V18+Datos!AN18))/(Datos!V18+Datos!AN18))
     ),IF(D_I="SI",(Datos!L18-Datos!V18)/Datos!V18,(Datos!L18+Datos!AF18-(Datos!V18+Datos!AN18))/(Datos!V18+Datos!AN18))," - ")</f>
        <v>0.35852911133810011</v>
      </c>
      <c r="H18" s="356">
        <f>IF(ISNUMBER((Datos!M18-Datos!W18)/Datos!W18),(Datos!M18-Datos!W18)/Datos!W18," - ")</f>
        <v>0.13207547169811321</v>
      </c>
      <c r="I18" s="357">
        <f>IF(ISNUMBER((Tasas!C18-Datos!BE18)/Datos!BE18),(Tasas!C18-Datos!BE18)/Datos!BE18," - ")</f>
        <v>0.40542297334942889</v>
      </c>
      <c r="J18" s="355">
        <f>IF(ISNUMBER((Tasas!D18-Datos!BF18)/Datos!BF18),(Tasas!D18-Datos!BF18)/Datos!BF18," - ")</f>
        <v>0.1711525812816776</v>
      </c>
      <c r="K18" s="358">
        <f>IF(ISNUMBER((Tasas!E18-Datos!BG18)/Datos!BG18),(Tasas!E18-Datos!BG18)/Datos!BG18," - ")</f>
        <v>8.6001892455387544E-2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0.39159439626417614</v>
      </c>
      <c r="E19" s="363">
        <f>IF(ISNUMBER(
   IF(J_V="SI",(Datos!J19-Datos!T19)/Datos!T19,(Datos!J19+Datos!Z19-(Datos!T19+Datos!AH19))/(Datos!T19+Datos!AH19))
     ),IF(J_V="SI",(Datos!J19-Datos!T19)/Datos!T19,(Datos!J19+Datos!Z19-(Datos!T19+Datos!AH19))/(Datos!T19+Datos!AH19))," - ")</f>
        <v>-1.1085450346420323E-2</v>
      </c>
      <c r="F19" s="363">
        <f>IF(ISNUMBER(
   IF(J_V="SI",(Datos!K19-Datos!U19)/Datos!U19,(Datos!K19+Datos!AA19-(Datos!U19+Datos!AI19))/(Datos!U19+Datos!AI19))
     ),IF(J_V="SI",(Datos!K19-Datos!U19)/Datos!U19,(Datos!K19+Datos!AA19-(Datos!U19+Datos!AI19))/(Datos!U19+Datos!AI19))," - ")</f>
        <v>5.3122465531224655E-2</v>
      </c>
      <c r="G19" s="364">
        <f>IF(ISNUMBER(
   IF(J_V="SI",(Datos!L19-Datos!V19)/Datos!V19,(Datos!L19+Datos!AB19-(Datos!V19+Datos!AJ19))/(Datos!V19+Datos!AJ19))
     ),IF(J_V="SI",(Datos!L19-Datos!V19)/Datos!V19,(Datos!L19+Datos!AB19-(Datos!V19+Datos!AJ19))/(Datos!V19+Datos!AJ19))," - ")</f>
        <v>0.15412272291466922</v>
      </c>
      <c r="H19" s="365">
        <f>IF(ISNUMBER((Datos!M19-Datos!W19)/Datos!W19),(Datos!M19-Datos!W19)/Datos!W19," - ")</f>
        <v>7.7577045696068006E-2</v>
      </c>
      <c r="I19" s="362">
        <f>IF(ISNUMBER((Tasas!C19-Datos!BE19)/Datos!BE19),(Tasas!C19-Datos!BE19)/Datos!BE19," - ")</f>
        <v>9.5905519717972412E-2</v>
      </c>
      <c r="J19" s="363">
        <f>IF(ISNUMBER((Tasas!D19-Datos!BF19)/Datos!BF19),(Tasas!D19-Datos!BF19)/Datos!BF19," - ")</f>
        <v>0.30467612723874626</v>
      </c>
      <c r="K19" s="364">
        <f>IF(ISNUMBER((Tasas!E19-Datos!BG19)/Datos!BG19),(Tasas!E19-Datos!BG19)/Datos!BG19," - ")</f>
        <v>3.7361490979635058E-2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0.39857484427425582</v>
      </c>
      <c r="E21" s="278">
        <f t="shared" si="1"/>
        <v>0.59950621063085052</v>
      </c>
      <c r="F21" s="278">
        <f t="shared" si="1"/>
        <v>0.52608345811293067</v>
      </c>
      <c r="G21" s="279">
        <f t="shared" si="1"/>
        <v>0.75829104909914036</v>
      </c>
      <c r="H21" s="285">
        <f t="shared" si="1"/>
        <v>0.57084255934840533</v>
      </c>
      <c r="I21" s="277">
        <f t="shared" si="1"/>
        <v>0.27358339041836988</v>
      </c>
      <c r="J21" s="278">
        <f t="shared" si="1"/>
        <v>0.55452537158215032</v>
      </c>
      <c r="K21" s="279">
        <f t="shared" si="1"/>
        <v>0.11775342384373504</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28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M+2yFJOZ+Ql5DLJ7HA84T6Gch/LLQAPO6DeGabTwrNCNxbGGrEeprrP81T2O++cAOhcElG1Gi2ECPwHnEeowZg==" saltValue="0GcseGnhrqKtR5BAfF+xn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2025-02-28T09:47:12Z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